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15570" windowHeight="12345" tabRatio="810"/>
  </bookViews>
  <sheets>
    <sheet name="Прайс от 01.09.2021" sheetId="87" r:id="rId1"/>
  </sheets>
  <definedNames>
    <definedName name="_xlnm.Print_Area" localSheetId="0">'Прайс от 01.09.2021'!$A$1:$U$102</definedName>
  </definedNames>
  <calcPr calcId="125725" refMode="R1C1"/>
</workbook>
</file>

<file path=xl/calcChain.xml><?xml version="1.0" encoding="utf-8"?>
<calcChain xmlns="http://schemas.openxmlformats.org/spreadsheetml/2006/main">
  <c r="T35" i="87"/>
  <c r="T34"/>
  <c r="T33"/>
  <c r="T32"/>
  <c r="T31"/>
  <c r="T30"/>
  <c r="T29"/>
  <c r="T28"/>
  <c r="T38"/>
  <c r="R39"/>
  <c r="S39" s="1"/>
  <c r="T39"/>
  <c r="L40"/>
  <c r="M40"/>
  <c r="N40"/>
  <c r="P40" s="1"/>
  <c r="R40"/>
  <c r="S40"/>
  <c r="T40"/>
  <c r="T42"/>
  <c r="T44"/>
  <c r="T45"/>
  <c r="T94"/>
  <c r="O40" l="1"/>
  <c r="T7"/>
  <c r="T8"/>
  <c r="T9"/>
  <c r="T10"/>
  <c r="T11"/>
  <c r="T12"/>
  <c r="T13"/>
  <c r="T15"/>
  <c r="T16"/>
  <c r="T17"/>
  <c r="T18"/>
  <c r="T19"/>
  <c r="T20"/>
  <c r="T21"/>
  <c r="T22"/>
  <c r="T23"/>
  <c r="T24"/>
  <c r="T25"/>
  <c r="T26"/>
  <c r="T47"/>
  <c r="T59"/>
  <c r="T60"/>
  <c r="T61"/>
  <c r="T62"/>
  <c r="T63"/>
  <c r="T64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M25" l="1"/>
  <c r="N25"/>
  <c r="R25"/>
  <c r="S25" s="1"/>
  <c r="P25" l="1"/>
  <c r="H71" l="1"/>
  <c r="R23"/>
  <c r="S23" s="1"/>
  <c r="N23"/>
  <c r="L23"/>
  <c r="R21"/>
  <c r="S21" s="1"/>
  <c r="N21"/>
  <c r="M21"/>
  <c r="L21"/>
  <c r="R19"/>
  <c r="S19" s="1"/>
  <c r="N19"/>
  <c r="M19"/>
  <c r="L19"/>
  <c r="R17"/>
  <c r="S17" s="1"/>
  <c r="R13"/>
  <c r="S13" s="1"/>
  <c r="N13"/>
  <c r="M13"/>
  <c r="R12"/>
  <c r="S12" s="1"/>
  <c r="N12"/>
  <c r="L12"/>
  <c r="R11"/>
  <c r="S11" s="1"/>
  <c r="N11"/>
  <c r="M11"/>
  <c r="L11"/>
  <c r="R10"/>
  <c r="S10" s="1"/>
  <c r="N10"/>
  <c r="M10"/>
  <c r="L10"/>
  <c r="R9"/>
  <c r="S9" s="1"/>
  <c r="N9"/>
  <c r="M9"/>
  <c r="L9"/>
  <c r="R8"/>
  <c r="S8" s="1"/>
  <c r="N8"/>
  <c r="M8"/>
  <c r="L8"/>
  <c r="R7"/>
  <c r="S7" s="1"/>
  <c r="P13" l="1"/>
  <c r="O19"/>
  <c r="O12"/>
  <c r="O21"/>
  <c r="O8"/>
  <c r="O9"/>
  <c r="O10"/>
  <c r="O11"/>
  <c r="P8"/>
  <c r="P9"/>
  <c r="P10"/>
  <c r="P11"/>
  <c r="P21"/>
  <c r="P19"/>
  <c r="O23"/>
</calcChain>
</file>

<file path=xl/sharedStrings.xml><?xml version="1.0" encoding="utf-8"?>
<sst xmlns="http://schemas.openxmlformats.org/spreadsheetml/2006/main" count="215" uniqueCount="179">
  <si>
    <t>№ п/п</t>
  </si>
  <si>
    <t>Наименование</t>
  </si>
  <si>
    <t>Болт М16х140.88.16</t>
  </si>
  <si>
    <t>Цена за ед. товара, в руб. без НДС</t>
  </si>
  <si>
    <t>Анитим</t>
  </si>
  <si>
    <t>Велес</t>
  </si>
  <si>
    <t>доставка</t>
  </si>
  <si>
    <t>Технотрон</t>
  </si>
  <si>
    <t>Казахстан</t>
  </si>
  <si>
    <t>Комплект для навески категории 3</t>
  </si>
  <si>
    <t>Комплект для навески категории 4N</t>
  </si>
  <si>
    <t>Мощность трактора, л.с.</t>
  </si>
  <si>
    <t>Масса,       кг.</t>
  </si>
  <si>
    <t>60-130</t>
  </si>
  <si>
    <t>110-180</t>
  </si>
  <si>
    <t>320-450</t>
  </si>
  <si>
    <t>120-180</t>
  </si>
  <si>
    <t>150-225</t>
  </si>
  <si>
    <t>180-270</t>
  </si>
  <si>
    <t>210-315</t>
  </si>
  <si>
    <t>240-360</t>
  </si>
  <si>
    <t>270-405</t>
  </si>
  <si>
    <t>140-210</t>
  </si>
  <si>
    <t>220-330</t>
  </si>
  <si>
    <t>260-390</t>
  </si>
  <si>
    <t>300-450</t>
  </si>
  <si>
    <t>Цена за ед. товара, в руб. с НДС 20%</t>
  </si>
  <si>
    <t>110-130</t>
  </si>
  <si>
    <t>130-150</t>
  </si>
  <si>
    <t>150-180</t>
  </si>
  <si>
    <t>Гарантия на технику КАМА составляет 12 месяца со дня приобретения!</t>
  </si>
  <si>
    <t>КАМА TIGER 2,5 (2,5 м., 5 рабочих органов)</t>
  </si>
  <si>
    <t>КАМА TIGER 2,5 (2,5 м., 5 рабочих органов,без катков)</t>
  </si>
  <si>
    <t>КАМА TIGER 3 (3 м., 7 рабочих органов)</t>
  </si>
  <si>
    <t>КАМА TIGER 3 (3 м., 7 рабочих органов, без катков)</t>
  </si>
  <si>
    <t>КАМА TIGER 4 (4 м., 9 рабочих органов)</t>
  </si>
  <si>
    <t>КАМА TIGER 4 (4 м., 9 рабочих органов,без катков)</t>
  </si>
  <si>
    <t>КАМА TIGER 5 (5 м., 11 рабочих органов)</t>
  </si>
  <si>
    <t>КАМА TIGER 5 (5 м., 11 рабочих органов, без катков)</t>
  </si>
  <si>
    <t>4. Средняя пружинная борона PANTHER (зуб 10 мм.)</t>
  </si>
  <si>
    <t>КАМА PANTHER-15 (зуб 10мм.)</t>
  </si>
  <si>
    <t>КАМА PANTHER-18 (зуб 10мм.)</t>
  </si>
  <si>
    <t>КАМА PANTHER-24 (зуб 10мм.)</t>
  </si>
  <si>
    <t>КАМА LION 12 (зуб 16мм.)</t>
  </si>
  <si>
    <t xml:space="preserve">КАМА LION 15 (зуб 16мм.) </t>
  </si>
  <si>
    <t>КАМА LION 18 (зуб 16мм.)</t>
  </si>
  <si>
    <t>КАМА LION 21 (зуб 16мм.)</t>
  </si>
  <si>
    <t>КАМА LION 24 (зуб 16мм.)</t>
  </si>
  <si>
    <t>КАМА LION 27 (зуб 16мм.)</t>
  </si>
  <si>
    <t>5. Легкая борона YAGUAR (зуб 8 мм.)</t>
  </si>
  <si>
    <t>КАМА YAGUAR (ширина захвата 12 м.,зуб 8 мм.)</t>
  </si>
  <si>
    <t>КАМА LEOPARD 12 (с БЗТС)</t>
  </si>
  <si>
    <t>КАМА LEOPARD 12 (гидрофицированная рама без рабочих органов БЗТС)</t>
  </si>
  <si>
    <t>КАМА LEOPARD 15 (с БЗТС)</t>
  </si>
  <si>
    <t>КАМА LEOPARD 15 (гидрофицированная рама без рабочих органов БЗТС)</t>
  </si>
  <si>
    <t>КАМА LEOPARD 18 (с БЗТС)</t>
  </si>
  <si>
    <t>КАМА LEOPARD 18 (гидрофицированная рама без рабочих органов БЗТС)</t>
  </si>
  <si>
    <t>КАМА LEOPARD 21 (с БЗТС)</t>
  </si>
  <si>
    <t>КАМА LEOPARD 21 (гидрофицированная рама без рабочих органов БЗТС)</t>
  </si>
  <si>
    <t>КАМА LEOPARD 24 (с БЗТС)</t>
  </si>
  <si>
    <t>КАМА LEOPARD 24 (гидрофицированная рама без рабочих органов БЗТС)</t>
  </si>
  <si>
    <t>КАМА LEOPARD 27 (с БЗТС)</t>
  </si>
  <si>
    <t>КАМА LEOPARD 27 (гидрофицированная рама без рабочих органов БЗТС)</t>
  </si>
  <si>
    <t>6. Тележка переходная ELEPHANT</t>
  </si>
  <si>
    <t>КАМА ELEPHANT 4000М (навешиваемое оборудование до 4 т., полу навесное до 6 т.)</t>
  </si>
  <si>
    <t>КАМА ELEPHANT 6000 (навешиваемое оборудование до 6 т., полу навесное до 9 т.)</t>
  </si>
  <si>
    <t>8. Запчасти к тяжелым стерневым боронам</t>
  </si>
  <si>
    <t>9.  Запчасти к глубокорыхлителям</t>
  </si>
  <si>
    <t>7. Запчасти к сцепке зубовой гидрофицированной</t>
  </si>
  <si>
    <t>Кассета БЗТС</t>
  </si>
  <si>
    <t>КАМА LION 7,2  (под трактора МТЗ 80, МТЗ 82, зуб 16мм.)</t>
  </si>
  <si>
    <t>Артикул</t>
  </si>
  <si>
    <t>45.5-250</t>
  </si>
  <si>
    <t>55.7-300</t>
  </si>
  <si>
    <t>55.9-400</t>
  </si>
  <si>
    <t>55.11-500</t>
  </si>
  <si>
    <t>12.505</t>
  </si>
  <si>
    <t>15.505</t>
  </si>
  <si>
    <t>18.505</t>
  </si>
  <si>
    <t>21.505</t>
  </si>
  <si>
    <t>24.555</t>
  </si>
  <si>
    <t>27.555</t>
  </si>
  <si>
    <t>12.550</t>
  </si>
  <si>
    <t>15.550</t>
  </si>
  <si>
    <t>18.550</t>
  </si>
  <si>
    <t>21.550</t>
  </si>
  <si>
    <t>24.560</t>
  </si>
  <si>
    <t>27.560</t>
  </si>
  <si>
    <t>15.551</t>
  </si>
  <si>
    <t>18.551</t>
  </si>
  <si>
    <t>24.551</t>
  </si>
  <si>
    <t>12.521</t>
  </si>
  <si>
    <t>ТПУ4000</t>
  </si>
  <si>
    <t>ТПУ6000</t>
  </si>
  <si>
    <t>Граблина</t>
  </si>
  <si>
    <t xml:space="preserve"> 050.505.18.00.0.08</t>
  </si>
  <si>
    <t>050.505.18.00.0.00</t>
  </si>
  <si>
    <t>050.505.18.01.0.03</t>
  </si>
  <si>
    <t>050.505.21.00.0.00</t>
  </si>
  <si>
    <t>050.505.05.00.0.00</t>
  </si>
  <si>
    <t>050.505.18.00.0.07</t>
  </si>
  <si>
    <t xml:space="preserve">Блок граблин </t>
  </si>
  <si>
    <t xml:space="preserve">Рессора </t>
  </si>
  <si>
    <t xml:space="preserve">Секция дополнительная </t>
  </si>
  <si>
    <t xml:space="preserve">Балка поперечная </t>
  </si>
  <si>
    <t xml:space="preserve">Стопор </t>
  </si>
  <si>
    <t>050.550.20.00.0.00</t>
  </si>
  <si>
    <t>050.506.01.07.0.01</t>
  </si>
  <si>
    <t>050.506.01.07.0.02</t>
  </si>
  <si>
    <t>050.506.01.07.0.02-01</t>
  </si>
  <si>
    <t xml:space="preserve">Нож центральный </t>
  </si>
  <si>
    <t xml:space="preserve">050.506.01.07.3.00СБ </t>
  </si>
  <si>
    <t>050.508.01.07.3.00СБ</t>
  </si>
  <si>
    <t xml:space="preserve"> 050.506.01.07.0.00 СБ</t>
  </si>
  <si>
    <t xml:space="preserve">Зуб в сборе </t>
  </si>
  <si>
    <t>050.507.01.07.0.00 СБ</t>
  </si>
  <si>
    <t>050.508.01.07.0.00 СБ</t>
  </si>
  <si>
    <t xml:space="preserve">Опорное колесо </t>
  </si>
  <si>
    <t>050.506.01.09.0.00 СБ</t>
  </si>
  <si>
    <t xml:space="preserve">Блок колесный </t>
  </si>
  <si>
    <t>050.508.06.00.0.00</t>
  </si>
  <si>
    <t xml:space="preserve">Кронштейн боковой </t>
  </si>
  <si>
    <t>050.508.02.03.0.00</t>
  </si>
  <si>
    <t xml:space="preserve">Талреп </t>
  </si>
  <si>
    <t>050.508.02.05.0.00</t>
  </si>
  <si>
    <t xml:space="preserve">Винт 12х70 </t>
  </si>
  <si>
    <t>Din 7991</t>
  </si>
  <si>
    <t xml:space="preserve">Гайка М16 пр. 6,8 </t>
  </si>
  <si>
    <t>Din 934</t>
  </si>
  <si>
    <t>Din 6923</t>
  </si>
  <si>
    <t>УТВЕРЖДАЮ
Управляющий
ООО "Техника-Агро"
М.А. Нуриев</t>
  </si>
  <si>
    <t xml:space="preserve">
Общество с ограниченной ответственностью «Техника-Агро»
423831, Россия, Республика Татарстан, г.  Набережные Челны, проспект им.Вахитова, дом.44, офис 27
Тел. (8552) 20-20-71
E-mail: 2018kama@mail.ru
www.kammz.ru
</t>
  </si>
  <si>
    <t>050.506.01.07.5.00 СБ</t>
  </si>
  <si>
    <t>050.506.01.07.500-01 СБ</t>
  </si>
  <si>
    <t>Нож (правый боковой)</t>
  </si>
  <si>
    <t>Нож (левый боковой)</t>
  </si>
  <si>
    <t>Зуб в сборе (старого образца)</t>
  </si>
  <si>
    <t>ЦГ-100.50х400.01</t>
  </si>
  <si>
    <t>ЦГ-50.30х250.22</t>
  </si>
  <si>
    <t>ЕДЦГ 101.000-01</t>
  </si>
  <si>
    <t>ЦГ-100.60х800.22</t>
  </si>
  <si>
    <t>10.Запчасти к средним стерневым боронам</t>
  </si>
  <si>
    <t>Граблина ( зуб 10 мм)</t>
  </si>
  <si>
    <t>050.551.06.00.0.05</t>
  </si>
  <si>
    <t>Гидроцилиндр (приподнятие бороны)</t>
  </si>
  <si>
    <t>Гидроцилиндр (приведение в рабочее или транспортное положение )</t>
  </si>
  <si>
    <t>Гидроцилиндр (приведение в рабочее или транспортное положение)</t>
  </si>
  <si>
    <t>Нож-долото(старого образца)</t>
  </si>
  <si>
    <t>Нож-долото (для TIGER 2,5/3м.)</t>
  </si>
  <si>
    <t>Нож-долото (для TIGER 4/5м.)</t>
  </si>
  <si>
    <t xml:space="preserve">Пластина </t>
  </si>
  <si>
    <t>050.550.00.00.0.02</t>
  </si>
  <si>
    <t>Стойка тросов</t>
  </si>
  <si>
    <t>050.505.01.03.0.00</t>
  </si>
  <si>
    <t>Крестовина</t>
  </si>
  <si>
    <t>050.505.14.00.0.00</t>
  </si>
  <si>
    <t>Гидроцилиндр (фиксация стойки тросов)</t>
  </si>
  <si>
    <t>Секция центральная</t>
  </si>
  <si>
    <t>050.550.01.00.0.00</t>
  </si>
  <si>
    <t>Секция боковая</t>
  </si>
  <si>
    <t>050.550.02.00.0.00</t>
  </si>
  <si>
    <t>050.550.02.00.0.00-01</t>
  </si>
  <si>
    <t>050.550.35.00.0.00</t>
  </si>
  <si>
    <t>050.550.35.00.0.00-01</t>
  </si>
  <si>
    <t>Кронштейн</t>
  </si>
  <si>
    <t>Планка</t>
  </si>
  <si>
    <t>Стремянка</t>
  </si>
  <si>
    <t>050.550.05.00.0.00</t>
  </si>
  <si>
    <t>050.550.07.00.0.00</t>
  </si>
  <si>
    <t>050.555.00.00.0.37.-01</t>
  </si>
  <si>
    <t>4.510</t>
  </si>
  <si>
    <t>Розничный прайс-лист на сельхозтехнику "КАМА" от 01.09.2021г.</t>
  </si>
  <si>
    <t>КАМА TIGER G4 (цельносварной, 4 м., 9 рабочих органов)</t>
  </si>
  <si>
    <t>Основание</t>
  </si>
  <si>
    <t>050.508.01.07.0.03</t>
  </si>
  <si>
    <t>1. Тяжелая стерневая борона LION</t>
  </si>
  <si>
    <t>2. Сцепка зубовая гидрофицированная LEOPARD</t>
  </si>
  <si>
    <t>3. Глубокорыхлитель TIGER</t>
  </si>
  <si>
    <t>7,2.525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</si>
</sst>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10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8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7" fillId="0" borderId="0" xfId="0" applyFont="1"/>
    <xf numFmtId="0" fontId="4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4" fillId="0" borderId="4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1" fillId="0" borderId="5" xfId="0" applyFont="1" applyBorder="1"/>
    <xf numFmtId="4" fontId="4" fillId="0" borderId="4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4" fontId="1" fillId="0" borderId="0" xfId="0" applyNumberFormat="1" applyFont="1"/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0" xfId="0" applyFont="1" applyBorder="1"/>
    <xf numFmtId="0" fontId="4" fillId="0" borderId="2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2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9" fontId="1" fillId="0" borderId="3" xfId="2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0" xfId="0" applyFont="1" applyAlignment="1"/>
    <xf numFmtId="0" fontId="7" fillId="0" borderId="0" xfId="0" applyFont="1" applyAlignment="1"/>
    <xf numFmtId="0" fontId="7" fillId="0" borderId="0" xfId="0" applyFont="1" applyBorder="1" applyAlignment="1"/>
    <xf numFmtId="0" fontId="4" fillId="2" borderId="9" xfId="3" applyNumberFormat="1" applyFont="1" applyBorder="1" applyAlignment="1">
      <alignment horizontal="center" vertical="center"/>
    </xf>
    <xf numFmtId="3" fontId="4" fillId="2" borderId="9" xfId="3" applyNumberFormat="1" applyFont="1" applyBorder="1" applyAlignment="1">
      <alignment horizontal="center" vertical="center"/>
    </xf>
    <xf numFmtId="0" fontId="1" fillId="0" borderId="0" xfId="0" applyNumberFormat="1" applyFont="1"/>
    <xf numFmtId="3" fontId="4" fillId="2" borderId="13" xfId="3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vertical="center"/>
    </xf>
    <xf numFmtId="0" fontId="1" fillId="0" borderId="4" xfId="0" applyNumberFormat="1" applyFont="1" applyBorder="1" applyAlignment="1">
      <alignment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vertical="center"/>
    </xf>
    <xf numFmtId="0" fontId="1" fillId="0" borderId="2" xfId="0" applyNumberFormat="1" applyFont="1" applyBorder="1" applyAlignment="1">
      <alignment vertical="center"/>
    </xf>
    <xf numFmtId="0" fontId="1" fillId="0" borderId="2" xfId="2" applyNumberFormat="1" applyFont="1" applyBorder="1" applyAlignment="1">
      <alignment vertical="center"/>
    </xf>
    <xf numFmtId="0" fontId="1" fillId="0" borderId="3" xfId="0" applyNumberFormat="1" applyFont="1" applyBorder="1" applyAlignment="1">
      <alignment vertical="center"/>
    </xf>
    <xf numFmtId="0" fontId="1" fillId="0" borderId="3" xfId="2" applyNumberFormat="1" applyFont="1" applyBorder="1" applyAlignment="1">
      <alignment vertical="center"/>
    </xf>
    <xf numFmtId="0" fontId="2" fillId="0" borderId="4" xfId="0" applyNumberFormat="1" applyFont="1" applyBorder="1" applyAlignment="1">
      <alignment vertical="center"/>
    </xf>
    <xf numFmtId="0" fontId="2" fillId="0" borderId="2" xfId="0" applyNumberFormat="1" applyFont="1" applyBorder="1" applyAlignment="1">
      <alignment vertical="center"/>
    </xf>
    <xf numFmtId="0" fontId="4" fillId="0" borderId="11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vertical="center"/>
    </xf>
    <xf numFmtId="3" fontId="4" fillId="2" borderId="24" xfId="3" applyNumberFormat="1" applyFont="1" applyBorder="1" applyAlignment="1">
      <alignment horizontal="center" vertical="center"/>
    </xf>
    <xf numFmtId="0" fontId="4" fillId="2" borderId="23" xfId="3" applyNumberFormat="1" applyFont="1" applyBorder="1" applyAlignment="1">
      <alignment horizontal="center" vertical="center"/>
    </xf>
    <xf numFmtId="3" fontId="4" fillId="2" borderId="23" xfId="3" applyNumberFormat="1" applyFont="1" applyBorder="1" applyAlignment="1">
      <alignment horizontal="center" vertical="center"/>
    </xf>
    <xf numFmtId="0" fontId="1" fillId="0" borderId="4" xfId="1" applyNumberFormat="1" applyFont="1" applyBorder="1" applyAlignment="1">
      <alignment vertical="center"/>
    </xf>
    <xf numFmtId="0" fontId="1" fillId="0" borderId="2" xfId="1" applyNumberFormat="1" applyFont="1" applyBorder="1" applyAlignment="1">
      <alignment vertical="center"/>
    </xf>
    <xf numFmtId="0" fontId="1" fillId="0" borderId="3" xfId="1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1" fillId="0" borderId="7" xfId="0" applyNumberFormat="1" applyFont="1" applyBorder="1" applyAlignment="1">
      <alignment vertical="center"/>
    </xf>
    <xf numFmtId="0" fontId="5" fillId="0" borderId="0" xfId="0" applyNumberFormat="1" applyFont="1"/>
    <xf numFmtId="0" fontId="9" fillId="0" borderId="0" xfId="0" applyNumberFormat="1" applyFont="1" applyAlignment="1">
      <alignment vertical="center"/>
    </xf>
    <xf numFmtId="0" fontId="4" fillId="0" borderId="2" xfId="0" applyNumberFormat="1" applyFont="1" applyBorder="1" applyAlignment="1">
      <alignment horizontal="center"/>
    </xf>
    <xf numFmtId="0" fontId="4" fillId="0" borderId="2" xfId="0" applyNumberFormat="1" applyFont="1" applyBorder="1"/>
    <xf numFmtId="0" fontId="7" fillId="0" borderId="2" xfId="0" applyNumberFormat="1" applyFont="1" applyBorder="1"/>
    <xf numFmtId="0" fontId="1" fillId="0" borderId="2" xfId="0" applyNumberFormat="1" applyFont="1" applyBorder="1"/>
    <xf numFmtId="0" fontId="4" fillId="3" borderId="2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/>
    <xf numFmtId="0" fontId="4" fillId="0" borderId="0" xfId="0" applyNumberFormat="1" applyFont="1" applyBorder="1"/>
    <xf numFmtId="3" fontId="4" fillId="2" borderId="2" xfId="3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vertical="center"/>
    </xf>
    <xf numFmtId="0" fontId="1" fillId="4" borderId="2" xfId="0" applyNumberFormat="1" applyFont="1" applyFill="1" applyBorder="1" applyAlignment="1">
      <alignment vertical="center"/>
    </xf>
    <xf numFmtId="0" fontId="1" fillId="4" borderId="2" xfId="1" applyNumberFormat="1" applyFont="1" applyFill="1" applyBorder="1" applyAlignment="1">
      <alignment vertical="center"/>
    </xf>
    <xf numFmtId="0" fontId="4" fillId="0" borderId="36" xfId="0" applyNumberFormat="1" applyFont="1" applyBorder="1" applyAlignment="1">
      <alignment horizontal="center" vertical="center"/>
    </xf>
    <xf numFmtId="3" fontId="4" fillId="2" borderId="35" xfId="3" applyNumberFormat="1" applyFont="1" applyBorder="1" applyAlignment="1">
      <alignment horizontal="center" vertical="center"/>
    </xf>
    <xf numFmtId="4" fontId="4" fillId="0" borderId="37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3" fontId="4" fillId="2" borderId="38" xfId="3" applyNumberFormat="1" applyFont="1" applyBorder="1" applyAlignment="1">
      <alignment horizontal="center" vertical="center"/>
    </xf>
    <xf numFmtId="0" fontId="4" fillId="0" borderId="34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/>
    </xf>
    <xf numFmtId="0" fontId="1" fillId="0" borderId="1" xfId="1" applyNumberFormat="1" applyFont="1" applyBorder="1" applyAlignment="1">
      <alignment vertical="center"/>
    </xf>
    <xf numFmtId="0" fontId="4" fillId="2" borderId="13" xfId="3" applyNumberFormat="1" applyFont="1" applyBorder="1" applyAlignment="1">
      <alignment horizontal="center" vertical="center"/>
    </xf>
    <xf numFmtId="0" fontId="4" fillId="4" borderId="10" xfId="0" applyNumberFormat="1" applyFont="1" applyFill="1" applyBorder="1" applyAlignment="1">
      <alignment horizontal="center" vertical="center"/>
    </xf>
    <xf numFmtId="3" fontId="4" fillId="3" borderId="13" xfId="3" applyNumberFormat="1" applyFont="1" applyFill="1" applyBorder="1" applyAlignment="1">
      <alignment horizontal="center" vertical="center"/>
    </xf>
    <xf numFmtId="0" fontId="4" fillId="4" borderId="6" xfId="0" applyNumberFormat="1" applyFont="1" applyFill="1" applyBorder="1" applyAlignment="1">
      <alignment horizontal="center" vertical="center"/>
    </xf>
    <xf numFmtId="0" fontId="4" fillId="4" borderId="7" xfId="0" applyNumberFormat="1" applyFont="1" applyFill="1" applyBorder="1" applyAlignment="1">
      <alignment horizontal="center" vertical="center"/>
    </xf>
    <xf numFmtId="3" fontId="4" fillId="3" borderId="38" xfId="3" applyNumberFormat="1" applyFont="1" applyFill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14" xfId="0" applyNumberFormat="1" applyFont="1" applyBorder="1" applyAlignment="1">
      <alignment vertical="center" wrapText="1"/>
    </xf>
    <xf numFmtId="0" fontId="1" fillId="0" borderId="14" xfId="0" applyNumberFormat="1" applyFont="1" applyBorder="1" applyAlignment="1">
      <alignment vertical="center"/>
    </xf>
    <xf numFmtId="3" fontId="4" fillId="2" borderId="30" xfId="3" applyNumberFormat="1" applyFont="1" applyBorder="1" applyAlignment="1">
      <alignment horizontal="center" vertical="center"/>
    </xf>
    <xf numFmtId="0" fontId="4" fillId="0" borderId="39" xfId="0" applyNumberFormat="1" applyFont="1" applyBorder="1" applyAlignment="1">
      <alignment horizontal="center" vertical="center"/>
    </xf>
    <xf numFmtId="0" fontId="4" fillId="2" borderId="24" xfId="3" applyNumberFormat="1" applyFont="1" applyBorder="1" applyAlignment="1">
      <alignment horizontal="center" vertical="center"/>
    </xf>
    <xf numFmtId="0" fontId="4" fillId="4" borderId="26" xfId="0" applyNumberFormat="1" applyFont="1" applyFill="1" applyBorder="1" applyAlignment="1">
      <alignment vertical="center"/>
    </xf>
    <xf numFmtId="0" fontId="1" fillId="4" borderId="19" xfId="0" applyNumberFormat="1" applyFont="1" applyFill="1" applyBorder="1" applyAlignment="1">
      <alignment vertical="center"/>
    </xf>
    <xf numFmtId="0" fontId="1" fillId="4" borderId="19" xfId="1" applyNumberFormat="1" applyFont="1" applyFill="1" applyBorder="1" applyAlignment="1">
      <alignment vertical="center"/>
    </xf>
    <xf numFmtId="0" fontId="4" fillId="4" borderId="39" xfId="0" applyNumberFormat="1" applyFont="1" applyFill="1" applyBorder="1" applyAlignment="1">
      <alignment vertical="center"/>
    </xf>
    <xf numFmtId="0" fontId="4" fillId="4" borderId="39" xfId="0" applyNumberFormat="1" applyFont="1" applyFill="1" applyBorder="1" applyAlignment="1">
      <alignment horizontal="center" vertical="center"/>
    </xf>
    <xf numFmtId="0" fontId="1" fillId="4" borderId="27" xfId="0" applyNumberFormat="1" applyFont="1" applyFill="1" applyBorder="1" applyAlignment="1">
      <alignment vertical="center"/>
    </xf>
    <xf numFmtId="0" fontId="1" fillId="4" borderId="28" xfId="0" applyNumberFormat="1" applyFont="1" applyFill="1" applyBorder="1" applyAlignment="1">
      <alignment vertical="center"/>
    </xf>
    <xf numFmtId="0" fontId="1" fillId="0" borderId="0" xfId="0" applyFont="1" applyBorder="1"/>
    <xf numFmtId="0" fontId="4" fillId="0" borderId="1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NumberFormat="1" applyFont="1" applyBorder="1" applyAlignment="1">
      <alignment horizontal="center" vertical="center"/>
    </xf>
    <xf numFmtId="0" fontId="1" fillId="0" borderId="7" xfId="2" applyNumberFormat="1" applyFont="1" applyBorder="1" applyAlignment="1">
      <alignment vertical="center"/>
    </xf>
    <xf numFmtId="0" fontId="4" fillId="0" borderId="6" xfId="0" applyNumberFormat="1" applyFont="1" applyBorder="1" applyAlignment="1">
      <alignment horizontal="center" vertical="center"/>
    </xf>
    <xf numFmtId="0" fontId="1" fillId="0" borderId="3" xfId="0" applyFont="1" applyBorder="1"/>
    <xf numFmtId="0" fontId="4" fillId="0" borderId="45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vertical="center"/>
    </xf>
    <xf numFmtId="0" fontId="4" fillId="0" borderId="5" xfId="0" applyNumberFormat="1" applyFont="1" applyBorder="1" applyAlignment="1">
      <alignment horizontal="center" vertical="center"/>
    </xf>
    <xf numFmtId="0" fontId="1" fillId="0" borderId="5" xfId="0" applyNumberFormat="1" applyFont="1" applyBorder="1" applyAlignment="1">
      <alignment vertical="center"/>
    </xf>
    <xf numFmtId="3" fontId="4" fillId="2" borderId="46" xfId="3" applyNumberFormat="1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0" fontId="4" fillId="0" borderId="1" xfId="0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center" vertical="center"/>
    </xf>
    <xf numFmtId="3" fontId="4" fillId="2" borderId="1" xfId="3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8" fillId="2" borderId="27" xfId="3" applyNumberFormat="1" applyFont="1" applyBorder="1" applyAlignment="1">
      <alignment horizontal="center" vertical="center"/>
    </xf>
    <xf numFmtId="0" fontId="8" fillId="2" borderId="26" xfId="3" applyNumberFormat="1" applyFont="1" applyBorder="1" applyAlignment="1">
      <alignment horizontal="center" vertical="center"/>
    </xf>
    <xf numFmtId="0" fontId="8" fillId="2" borderId="28" xfId="3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2" borderId="30" xfId="3" applyFont="1" applyBorder="1" applyAlignment="1">
      <alignment horizontal="center" vertical="center" wrapText="1"/>
    </xf>
    <xf numFmtId="0" fontId="4" fillId="2" borderId="23" xfId="3" applyFont="1" applyBorder="1" applyAlignment="1">
      <alignment horizontal="center" vertical="center" wrapText="1"/>
    </xf>
    <xf numFmtId="0" fontId="8" fillId="2" borderId="41" xfId="3" applyNumberFormat="1" applyFont="1" applyBorder="1" applyAlignment="1">
      <alignment horizontal="center" vertical="center"/>
    </xf>
    <xf numFmtId="0" fontId="8" fillId="2" borderId="42" xfId="3" applyNumberFormat="1" applyFont="1" applyBorder="1" applyAlignment="1">
      <alignment horizontal="center" vertical="center"/>
    </xf>
    <xf numFmtId="0" fontId="8" fillId="2" borderId="43" xfId="3" applyNumberFormat="1" applyFont="1" applyBorder="1" applyAlignment="1">
      <alignment horizontal="center" vertical="center"/>
    </xf>
    <xf numFmtId="0" fontId="8" fillId="2" borderId="31" xfId="3" applyNumberFormat="1" applyFont="1" applyBorder="1" applyAlignment="1">
      <alignment horizontal="center" vertical="center"/>
    </xf>
    <xf numFmtId="0" fontId="8" fillId="2" borderId="32" xfId="3" applyNumberFormat="1" applyFont="1" applyBorder="1" applyAlignment="1">
      <alignment horizontal="center" vertical="center"/>
    </xf>
    <xf numFmtId="0" fontId="8" fillId="2" borderId="33" xfId="3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14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2" borderId="41" xfId="3" applyFont="1" applyBorder="1" applyAlignment="1">
      <alignment horizontal="center" vertical="center"/>
    </xf>
    <xf numFmtId="0" fontId="8" fillId="2" borderId="42" xfId="3" applyFont="1" applyBorder="1" applyAlignment="1">
      <alignment horizontal="center" vertical="center"/>
    </xf>
    <xf numFmtId="0" fontId="8" fillId="2" borderId="43" xfId="3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12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8" fillId="2" borderId="31" xfId="3" applyFont="1" applyBorder="1" applyAlignment="1">
      <alignment horizontal="center" vertical="center"/>
    </xf>
    <xf numFmtId="0" fontId="8" fillId="2" borderId="32" xfId="3" applyFont="1" applyBorder="1" applyAlignment="1">
      <alignment horizontal="center" vertical="center"/>
    </xf>
    <xf numFmtId="0" fontId="8" fillId="2" borderId="33" xfId="3" applyFont="1" applyBorder="1" applyAlignment="1">
      <alignment horizontal="center" vertical="center"/>
    </xf>
    <xf numFmtId="0" fontId="8" fillId="2" borderId="40" xfId="3" applyFont="1" applyBorder="1" applyAlignment="1">
      <alignment horizontal="center" vertical="center"/>
    </xf>
    <xf numFmtId="0" fontId="8" fillId="2" borderId="40" xfId="3" applyNumberFormat="1" applyFont="1" applyBorder="1" applyAlignment="1">
      <alignment horizontal="center" vertical="center"/>
    </xf>
  </cellXfs>
  <cellStyles count="4">
    <cellStyle name="40% - Акцент3" xfId="3" builtinId="39"/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1125434</xdr:colOff>
      <xdr:row>0</xdr:row>
      <xdr:rowOff>74427</xdr:rowOff>
    </xdr:from>
    <xdr:to>
      <xdr:col>20</xdr:col>
      <xdr:colOff>1321284</xdr:colOff>
      <xdr:row>0</xdr:row>
      <xdr:rowOff>1200109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47234" y="74427"/>
          <a:ext cx="4018550" cy="112568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119001</xdr:colOff>
      <xdr:row>15</xdr:row>
      <xdr:rowOff>282452</xdr:rowOff>
    </xdr:from>
    <xdr:to>
      <xdr:col>2</xdr:col>
      <xdr:colOff>2494066</xdr:colOff>
      <xdr:row>18</xdr:row>
      <xdr:rowOff>257589</xdr:rowOff>
    </xdr:to>
    <xdr:pic>
      <xdr:nvPicPr>
        <xdr:cNvPr id="10" name="Рисунок 9" descr="Леопард сзг 27 метров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73801" y="9185152"/>
          <a:ext cx="2375065" cy="1359437"/>
        </a:xfrm>
        <a:prstGeom prst="rect">
          <a:avLst/>
        </a:prstGeom>
      </xdr:spPr>
    </xdr:pic>
    <xdr:clientData/>
  </xdr:twoCellAnchor>
  <xdr:twoCellAnchor editAs="oneCell">
    <xdr:from>
      <xdr:col>2</xdr:col>
      <xdr:colOff>387596</xdr:colOff>
      <xdr:row>41</xdr:row>
      <xdr:rowOff>188522</xdr:rowOff>
    </xdr:from>
    <xdr:to>
      <xdr:col>2</xdr:col>
      <xdr:colOff>2120899</xdr:colOff>
      <xdr:row>41</xdr:row>
      <xdr:rowOff>876300</xdr:rowOff>
    </xdr:to>
    <xdr:pic>
      <xdr:nvPicPr>
        <xdr:cNvPr id="11" name="Рисунок 10" descr="легкая борона ягуа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42396" y="23226322"/>
          <a:ext cx="1733303" cy="687778"/>
        </a:xfrm>
        <a:prstGeom prst="rect">
          <a:avLst/>
        </a:prstGeom>
      </xdr:spPr>
    </xdr:pic>
    <xdr:clientData/>
  </xdr:twoCellAnchor>
  <xdr:twoCellAnchor editAs="oneCell">
    <xdr:from>
      <xdr:col>2</xdr:col>
      <xdr:colOff>100638</xdr:colOff>
      <xdr:row>37</xdr:row>
      <xdr:rowOff>333375</xdr:rowOff>
    </xdr:from>
    <xdr:to>
      <xdr:col>2</xdr:col>
      <xdr:colOff>2476500</xdr:colOff>
      <xdr:row>39</xdr:row>
      <xdr:rowOff>177800</xdr:rowOff>
    </xdr:to>
    <xdr:pic>
      <xdr:nvPicPr>
        <xdr:cNvPr id="12" name="Рисунок 11" descr="Пантера Средняя борон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55438" y="21047075"/>
          <a:ext cx="2375862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444997</xdr:colOff>
      <xdr:row>43</xdr:row>
      <xdr:rowOff>201550</xdr:rowOff>
    </xdr:from>
    <xdr:to>
      <xdr:col>2</xdr:col>
      <xdr:colOff>2248287</xdr:colOff>
      <xdr:row>43</xdr:row>
      <xdr:rowOff>1003300</xdr:rowOff>
    </xdr:to>
    <xdr:pic>
      <xdr:nvPicPr>
        <xdr:cNvPr id="14" name="Рисунок 13" descr="Элефант ТПУ 4000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99797" y="24585550"/>
          <a:ext cx="1803290" cy="801750"/>
        </a:xfrm>
        <a:prstGeom prst="rect">
          <a:avLst/>
        </a:prstGeom>
      </xdr:spPr>
    </xdr:pic>
    <xdr:clientData/>
  </xdr:twoCellAnchor>
  <xdr:twoCellAnchor editAs="oneCell">
    <xdr:from>
      <xdr:col>2</xdr:col>
      <xdr:colOff>349112</xdr:colOff>
      <xdr:row>44</xdr:row>
      <xdr:rowOff>162480</xdr:rowOff>
    </xdr:from>
    <xdr:to>
      <xdr:col>2</xdr:col>
      <xdr:colOff>2316851</xdr:colOff>
      <xdr:row>44</xdr:row>
      <xdr:rowOff>990600</xdr:rowOff>
    </xdr:to>
    <xdr:pic>
      <xdr:nvPicPr>
        <xdr:cNvPr id="15" name="Рисунок 14" descr="Элефант ТПУ 6000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3912" y="24457580"/>
          <a:ext cx="1967739" cy="828120"/>
        </a:xfrm>
        <a:prstGeom prst="rect">
          <a:avLst/>
        </a:prstGeom>
      </xdr:spPr>
    </xdr:pic>
    <xdr:clientData/>
  </xdr:twoCellAnchor>
  <xdr:twoCellAnchor editAs="oneCell">
    <xdr:from>
      <xdr:col>2</xdr:col>
      <xdr:colOff>126263</xdr:colOff>
      <xdr:row>8</xdr:row>
      <xdr:rowOff>263536</xdr:rowOff>
    </xdr:from>
    <xdr:to>
      <xdr:col>3</xdr:col>
      <xdr:colOff>1668</xdr:colOff>
      <xdr:row>10</xdr:row>
      <xdr:rowOff>264790</xdr:rowOff>
    </xdr:to>
    <xdr:pic>
      <xdr:nvPicPr>
        <xdr:cNvPr id="17" name="Рисунок 16" descr="лион тяжелая борон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81063" y="10753736"/>
          <a:ext cx="2463030" cy="127125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507950</xdr:colOff>
      <xdr:row>27</xdr:row>
      <xdr:rowOff>325800</xdr:rowOff>
    </xdr:from>
    <xdr:to>
      <xdr:col>2</xdr:col>
      <xdr:colOff>2091531</xdr:colOff>
      <xdr:row>28</xdr:row>
      <xdr:rowOff>433964</xdr:rowOff>
    </xdr:to>
    <xdr:pic>
      <xdr:nvPicPr>
        <xdr:cNvPr id="21" name="Рисунок 20" descr="2,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62750" y="3691300"/>
          <a:ext cx="1583581" cy="793964"/>
        </a:xfrm>
        <a:prstGeom prst="rect">
          <a:avLst/>
        </a:prstGeom>
      </xdr:spPr>
    </xdr:pic>
    <xdr:clientData/>
  </xdr:twoCellAnchor>
  <xdr:twoCellAnchor editAs="oneCell">
    <xdr:from>
      <xdr:col>2</xdr:col>
      <xdr:colOff>539441</xdr:colOff>
      <xdr:row>29</xdr:row>
      <xdr:rowOff>237508</xdr:rowOff>
    </xdr:from>
    <xdr:to>
      <xdr:col>2</xdr:col>
      <xdr:colOff>2119312</xdr:colOff>
      <xdr:row>30</xdr:row>
      <xdr:rowOff>366497</xdr:rowOff>
    </xdr:to>
    <xdr:pic>
      <xdr:nvPicPr>
        <xdr:cNvPr id="22" name="Рисунок 21" descr="tiger 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94241" y="4720608"/>
          <a:ext cx="1579871" cy="802089"/>
        </a:xfrm>
        <a:prstGeom prst="rect">
          <a:avLst/>
        </a:prstGeom>
      </xdr:spPr>
    </xdr:pic>
    <xdr:clientData/>
  </xdr:twoCellAnchor>
  <xdr:twoCellAnchor editAs="oneCell">
    <xdr:from>
      <xdr:col>2</xdr:col>
      <xdr:colOff>578665</xdr:colOff>
      <xdr:row>31</xdr:row>
      <xdr:rowOff>56749</xdr:rowOff>
    </xdr:from>
    <xdr:to>
      <xdr:col>2</xdr:col>
      <xdr:colOff>2075656</xdr:colOff>
      <xdr:row>32</xdr:row>
      <xdr:rowOff>314261</xdr:rowOff>
    </xdr:to>
    <xdr:pic>
      <xdr:nvPicPr>
        <xdr:cNvPr id="23" name="Рисунок 22" descr="Tiger 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33465" y="5746349"/>
          <a:ext cx="1496991" cy="892512"/>
        </a:xfrm>
        <a:prstGeom prst="rect">
          <a:avLst/>
        </a:prstGeom>
      </xdr:spPr>
    </xdr:pic>
    <xdr:clientData/>
  </xdr:twoCellAnchor>
  <xdr:twoCellAnchor editAs="oneCell">
    <xdr:from>
      <xdr:col>2</xdr:col>
      <xdr:colOff>635618</xdr:colOff>
      <xdr:row>33</xdr:row>
      <xdr:rowOff>224105</xdr:rowOff>
    </xdr:from>
    <xdr:to>
      <xdr:col>2</xdr:col>
      <xdr:colOff>2079625</xdr:colOff>
      <xdr:row>34</xdr:row>
      <xdr:rowOff>443162</xdr:rowOff>
    </xdr:to>
    <xdr:pic>
      <xdr:nvPicPr>
        <xdr:cNvPr id="24" name="Рисунок 23" descr="Tiger 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90418" y="7183705"/>
          <a:ext cx="1444007" cy="854057"/>
        </a:xfrm>
        <a:prstGeom prst="rect">
          <a:avLst/>
        </a:prstGeom>
      </xdr:spPr>
    </xdr:pic>
    <xdr:clientData/>
  </xdr:twoCellAnchor>
  <xdr:twoCellAnchor editAs="oneCell">
    <xdr:from>
      <xdr:col>2</xdr:col>
      <xdr:colOff>131701</xdr:colOff>
      <xdr:row>21</xdr:row>
      <xdr:rowOff>244352</xdr:rowOff>
    </xdr:from>
    <xdr:to>
      <xdr:col>2</xdr:col>
      <xdr:colOff>2506766</xdr:colOff>
      <xdr:row>24</xdr:row>
      <xdr:rowOff>232189</xdr:rowOff>
    </xdr:to>
    <xdr:pic>
      <xdr:nvPicPr>
        <xdr:cNvPr id="25" name="Рисунок 24" descr="Леопард сзг 27 метров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86501" y="11864852"/>
          <a:ext cx="2375065" cy="1359437"/>
        </a:xfrm>
        <a:prstGeom prst="rect">
          <a:avLst/>
        </a:prstGeom>
      </xdr:spPr>
    </xdr:pic>
    <xdr:clientData/>
  </xdr:twoCellAnchor>
  <xdr:twoCellAnchor editAs="oneCell">
    <xdr:from>
      <xdr:col>2</xdr:col>
      <xdr:colOff>222734</xdr:colOff>
      <xdr:row>35</xdr:row>
      <xdr:rowOff>63500</xdr:rowOff>
    </xdr:from>
    <xdr:to>
      <xdr:col>2</xdr:col>
      <xdr:colOff>2277310</xdr:colOff>
      <xdr:row>35</xdr:row>
      <xdr:rowOff>1219199</xdr:rowOff>
    </xdr:to>
    <xdr:pic>
      <xdr:nvPicPr>
        <xdr:cNvPr id="16" name="Рисунок 15" descr="Новый глубокороыхлитель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77534" y="19685000"/>
          <a:ext cx="2054576" cy="1155699"/>
        </a:xfrm>
        <a:prstGeom prst="rect">
          <a:avLst/>
        </a:prstGeom>
      </xdr:spPr>
    </xdr:pic>
    <xdr:clientData/>
  </xdr:twoCellAnchor>
  <xdr:twoCellAnchor>
    <xdr:from>
      <xdr:col>2</xdr:col>
      <xdr:colOff>2159000</xdr:colOff>
      <xdr:row>34</xdr:row>
      <xdr:rowOff>596900</xdr:rowOff>
    </xdr:from>
    <xdr:to>
      <xdr:col>3</xdr:col>
      <xdr:colOff>127000</xdr:colOff>
      <xdr:row>35</xdr:row>
      <xdr:rowOff>368300</xdr:rowOff>
    </xdr:to>
    <xdr:sp macro="" textlink="">
      <xdr:nvSpPr>
        <xdr:cNvPr id="28" name="Прямоугольник 27"/>
        <xdr:cNvSpPr/>
      </xdr:nvSpPr>
      <xdr:spPr>
        <a:xfrm>
          <a:off x="8813800" y="19596100"/>
          <a:ext cx="635000" cy="393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</a:rPr>
            <a:t>NEW</a:t>
          </a:r>
          <a:endParaRPr lang="ru-RU" sz="1100">
            <a:ln>
              <a:solidFill>
                <a:schemeClr val="tx1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03"/>
  <sheetViews>
    <sheetView tabSelected="1" topLeftCell="A70" zoomScale="60" zoomScaleNormal="60" zoomScaleSheetLayoutView="77" workbookViewId="0">
      <selection activeCell="A98" sqref="A98:C103"/>
    </sheetView>
  </sheetViews>
  <sheetFormatPr defaultColWidth="9.140625" defaultRowHeight="15"/>
  <cols>
    <col min="1" max="1" width="7.42578125" style="1" customWidth="1"/>
    <col min="2" max="2" width="95" style="1" customWidth="1"/>
    <col min="3" max="3" width="38.85546875" style="1" customWidth="1"/>
    <col min="4" max="4" width="30" style="1" customWidth="1"/>
    <col min="5" max="5" width="14.7109375" style="1" customWidth="1"/>
    <col min="6" max="6" width="11" style="1" customWidth="1"/>
    <col min="7" max="7" width="9.140625" style="1" hidden="1" customWidth="1"/>
    <col min="8" max="8" width="15.42578125" style="1" hidden="1" customWidth="1"/>
    <col min="9" max="9" width="9.140625" style="1" hidden="1" customWidth="1"/>
    <col min="10" max="10" width="14.42578125" style="1" hidden="1" customWidth="1"/>
    <col min="11" max="11" width="9.140625" style="1" hidden="1" customWidth="1"/>
    <col min="12" max="12" width="14.5703125" style="1" hidden="1" customWidth="1"/>
    <col min="13" max="13" width="15" style="1" hidden="1" customWidth="1"/>
    <col min="14" max="14" width="14.28515625" style="1" hidden="1" customWidth="1"/>
    <col min="15" max="15" width="9.85546875" style="1" hidden="1" customWidth="1"/>
    <col min="16" max="17" width="9.140625" style="1" hidden="1" customWidth="1"/>
    <col min="18" max="18" width="14.85546875" style="1" hidden="1" customWidth="1"/>
    <col min="19" max="19" width="0.85546875" style="1" hidden="1" customWidth="1"/>
    <col min="20" max="20" width="0.140625" style="1" customWidth="1"/>
    <col min="21" max="21" width="20.5703125" style="1" customWidth="1"/>
    <col min="22" max="22" width="9.140625" style="1" customWidth="1"/>
    <col min="23" max="23" width="13.42578125" style="1" customWidth="1"/>
    <col min="24" max="24" width="11.7109375" style="1" bestFit="1" customWidth="1"/>
    <col min="25" max="25" width="9.140625" style="1"/>
    <col min="26" max="26" width="8.85546875" style="1" customWidth="1"/>
    <col min="27" max="27" width="0.5703125" style="1" hidden="1" customWidth="1"/>
    <col min="28" max="16384" width="9.140625" style="1"/>
  </cols>
  <sheetData>
    <row r="1" spans="1:27" ht="123" customHeight="1">
      <c r="A1" s="138" t="s">
        <v>131</v>
      </c>
      <c r="B1" s="138"/>
      <c r="C1" s="138"/>
      <c r="D1" s="138"/>
      <c r="E1" s="138"/>
      <c r="F1" s="138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7" ht="49.5" customHeight="1">
      <c r="A2" s="156" t="s">
        <v>171</v>
      </c>
      <c r="B2" s="156"/>
      <c r="C2" s="156"/>
      <c r="D2" s="156"/>
      <c r="E2" s="138" t="s">
        <v>130</v>
      </c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4"/>
      <c r="W2" s="4"/>
      <c r="X2" s="4"/>
    </row>
    <row r="3" spans="1:27" ht="27.75" customHeight="1" thickBot="1">
      <c r="A3" s="162"/>
      <c r="B3" s="162"/>
      <c r="C3" s="162"/>
      <c r="D3" s="162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</row>
    <row r="4" spans="1:27" ht="14.45" customHeight="1">
      <c r="A4" s="149" t="s">
        <v>0</v>
      </c>
      <c r="B4" s="147" t="s">
        <v>1</v>
      </c>
      <c r="C4" s="19"/>
      <c r="D4" s="152" t="s">
        <v>71</v>
      </c>
      <c r="E4" s="149" t="s">
        <v>11</v>
      </c>
      <c r="F4" s="151" t="s">
        <v>12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51" t="s">
        <v>3</v>
      </c>
      <c r="U4" s="139" t="s">
        <v>26</v>
      </c>
    </row>
    <row r="5" spans="1:27" ht="52.5" customHeight="1" thickBot="1">
      <c r="A5" s="150"/>
      <c r="B5" s="148"/>
      <c r="C5" s="116"/>
      <c r="D5" s="153"/>
      <c r="E5" s="150"/>
      <c r="F5" s="148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48"/>
      <c r="U5" s="140"/>
    </row>
    <row r="6" spans="1:27" ht="34.15" customHeight="1" thickBot="1">
      <c r="A6" s="141" t="s">
        <v>175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W6" s="14"/>
    </row>
    <row r="7" spans="1:27" ht="50.45" customHeight="1">
      <c r="A7" s="124">
        <v>1</v>
      </c>
      <c r="B7" s="125" t="s">
        <v>70</v>
      </c>
      <c r="C7" s="154"/>
      <c r="D7" s="126" t="s">
        <v>178</v>
      </c>
      <c r="E7" s="126">
        <v>80</v>
      </c>
      <c r="F7" s="126">
        <v>2100</v>
      </c>
      <c r="G7" s="127"/>
      <c r="H7" s="127" t="s">
        <v>4</v>
      </c>
      <c r="I7" s="127"/>
      <c r="J7" s="127" t="s">
        <v>5</v>
      </c>
      <c r="K7" s="127"/>
      <c r="L7" s="127" t="s">
        <v>4</v>
      </c>
      <c r="M7" s="127" t="s">
        <v>5</v>
      </c>
      <c r="N7" s="127" t="s">
        <v>7</v>
      </c>
      <c r="O7" s="127"/>
      <c r="P7" s="127"/>
      <c r="Q7" s="127">
        <v>4</v>
      </c>
      <c r="R7" s="127">
        <f t="shared" ref="R7:R13" si="0">($E$60/2)*Q7</f>
        <v>0</v>
      </c>
      <c r="S7" s="127">
        <f t="shared" ref="S7:S13" si="1">E7-R7</f>
        <v>80</v>
      </c>
      <c r="T7" s="126">
        <f>668188.118404447</f>
        <v>668188.11840444698</v>
      </c>
      <c r="U7" s="128">
        <v>928194.75</v>
      </c>
      <c r="W7" s="14"/>
    </row>
    <row r="8" spans="1:27" ht="51" customHeight="1">
      <c r="A8" s="51">
        <v>2</v>
      </c>
      <c r="B8" s="52" t="s">
        <v>43</v>
      </c>
      <c r="C8" s="155"/>
      <c r="D8" s="6" t="s">
        <v>76</v>
      </c>
      <c r="E8" s="6" t="s">
        <v>16</v>
      </c>
      <c r="F8" s="6">
        <v>4354</v>
      </c>
      <c r="G8" s="53">
        <v>9</v>
      </c>
      <c r="H8" s="53">
        <v>568825</v>
      </c>
      <c r="I8" s="53">
        <v>9</v>
      </c>
      <c r="J8" s="53">
        <v>587000</v>
      </c>
      <c r="K8" s="53"/>
      <c r="L8" s="53" t="e">
        <f>H8+#REF!</f>
        <v>#REF!</v>
      </c>
      <c r="M8" s="53" t="e">
        <f>J8+#REF!</f>
        <v>#REF!</v>
      </c>
      <c r="N8" s="53" t="e">
        <f>E7+#REF!</f>
        <v>#REF!</v>
      </c>
      <c r="O8" s="54" t="e">
        <f>L8/N8-1</f>
        <v>#REF!</v>
      </c>
      <c r="P8" s="54" t="e">
        <f>M8/N8-1</f>
        <v>#REF!</v>
      </c>
      <c r="Q8" s="53">
        <v>6</v>
      </c>
      <c r="R8" s="53">
        <f t="shared" si="0"/>
        <v>0</v>
      </c>
      <c r="S8" s="53" t="e">
        <f t="shared" si="1"/>
        <v>#VALUE!</v>
      </c>
      <c r="T8" s="85">
        <f>1198747.30096298</f>
        <v>1198747.3009629799</v>
      </c>
      <c r="U8" s="86">
        <v>1680773.1200000001</v>
      </c>
      <c r="W8" s="14"/>
      <c r="AA8" s="10">
        <v>289190.45</v>
      </c>
    </row>
    <row r="9" spans="1:27" ht="50.45" customHeight="1">
      <c r="A9" s="51">
        <v>3</v>
      </c>
      <c r="B9" s="52" t="s">
        <v>44</v>
      </c>
      <c r="C9" s="155"/>
      <c r="D9" s="6" t="s">
        <v>77</v>
      </c>
      <c r="E9" s="6" t="s">
        <v>17</v>
      </c>
      <c r="F9" s="6">
        <v>4994</v>
      </c>
      <c r="G9" s="53">
        <v>15</v>
      </c>
      <c r="H9" s="53">
        <v>1180362</v>
      </c>
      <c r="I9" s="53">
        <v>15</v>
      </c>
      <c r="J9" s="53">
        <v>1202000</v>
      </c>
      <c r="K9" s="53"/>
      <c r="L9" s="53" t="e">
        <f>H9+#REF!</f>
        <v>#REF!</v>
      </c>
      <c r="M9" s="53" t="e">
        <f>J9+#REF!</f>
        <v>#REF!</v>
      </c>
      <c r="N9" s="53" t="e">
        <f>E9+#REF!</f>
        <v>#VALUE!</v>
      </c>
      <c r="O9" s="54" t="e">
        <f>L9/N9-1</f>
        <v>#REF!</v>
      </c>
      <c r="P9" s="54" t="e">
        <f>M9/N9-1</f>
        <v>#REF!</v>
      </c>
      <c r="Q9" s="53">
        <v>8</v>
      </c>
      <c r="R9" s="53">
        <f t="shared" si="0"/>
        <v>0</v>
      </c>
      <c r="S9" s="53" t="e">
        <f t="shared" si="1"/>
        <v>#VALUE!</v>
      </c>
      <c r="T9" s="6">
        <f>1297928.88606899</f>
        <v>1297928.88606899</v>
      </c>
      <c r="U9" s="45">
        <v>1819873.12</v>
      </c>
      <c r="W9" s="14"/>
      <c r="AA9" s="8">
        <v>407880</v>
      </c>
    </row>
    <row r="10" spans="1:27" ht="50.45" customHeight="1">
      <c r="A10" s="51">
        <v>4</v>
      </c>
      <c r="B10" s="52" t="s">
        <v>45</v>
      </c>
      <c r="C10" s="155"/>
      <c r="D10" s="6" t="s">
        <v>78</v>
      </c>
      <c r="E10" s="6" t="s">
        <v>18</v>
      </c>
      <c r="F10" s="6">
        <v>5520</v>
      </c>
      <c r="G10" s="53">
        <v>19</v>
      </c>
      <c r="H10" s="53">
        <v>1305906</v>
      </c>
      <c r="I10" s="53">
        <v>18</v>
      </c>
      <c r="J10" s="53">
        <v>1346000</v>
      </c>
      <c r="K10" s="53"/>
      <c r="L10" s="53" t="e">
        <f>H10+#REF!</f>
        <v>#REF!</v>
      </c>
      <c r="M10" s="53" t="e">
        <f>J10+#REF!</f>
        <v>#REF!</v>
      </c>
      <c r="N10" s="53" t="e">
        <f>E10+#REF!</f>
        <v>#VALUE!</v>
      </c>
      <c r="O10" s="54" t="e">
        <f>L10/N10-1</f>
        <v>#REF!</v>
      </c>
      <c r="P10" s="54" t="e">
        <f>M10/N10-1</f>
        <v>#REF!</v>
      </c>
      <c r="Q10" s="53">
        <v>10</v>
      </c>
      <c r="R10" s="53">
        <f t="shared" si="0"/>
        <v>0</v>
      </c>
      <c r="S10" s="53" t="e">
        <f t="shared" si="1"/>
        <v>#VALUE!</v>
      </c>
      <c r="T10" s="6">
        <f>1492605.42072829</f>
        <v>1492605.42072829</v>
      </c>
      <c r="U10" s="45">
        <v>2053724.4</v>
      </c>
      <c r="W10" s="14"/>
      <c r="AA10" s="8">
        <v>611923</v>
      </c>
    </row>
    <row r="11" spans="1:27" ht="50.45" customHeight="1">
      <c r="A11" s="51">
        <v>5</v>
      </c>
      <c r="B11" s="52" t="s">
        <v>46</v>
      </c>
      <c r="C11" s="155"/>
      <c r="D11" s="6" t="s">
        <v>79</v>
      </c>
      <c r="E11" s="6" t="s">
        <v>19</v>
      </c>
      <c r="F11" s="6">
        <v>6320</v>
      </c>
      <c r="G11" s="53">
        <v>21</v>
      </c>
      <c r="H11" s="53">
        <v>1375414</v>
      </c>
      <c r="I11" s="53">
        <v>22</v>
      </c>
      <c r="J11" s="53">
        <v>1470000</v>
      </c>
      <c r="K11" s="53"/>
      <c r="L11" s="53" t="e">
        <f>H11+#REF!</f>
        <v>#REF!</v>
      </c>
      <c r="M11" s="53" t="e">
        <f>J11+#REF!</f>
        <v>#REF!</v>
      </c>
      <c r="N11" s="53" t="e">
        <f>E11+#REF!</f>
        <v>#VALUE!</v>
      </c>
      <c r="O11" s="54" t="e">
        <f>L11/N11-1</f>
        <v>#REF!</v>
      </c>
      <c r="P11" s="54" t="e">
        <f>M11/N11-1</f>
        <v>#REF!</v>
      </c>
      <c r="Q11" s="53">
        <v>12</v>
      </c>
      <c r="R11" s="53">
        <f t="shared" si="0"/>
        <v>0</v>
      </c>
      <c r="S11" s="53" t="e">
        <f t="shared" si="1"/>
        <v>#VALUE!</v>
      </c>
      <c r="T11" s="6">
        <f>1542095.42897937</f>
        <v>1542095.42897937</v>
      </c>
      <c r="U11" s="45">
        <v>2162603.52</v>
      </c>
      <c r="W11" s="14"/>
      <c r="AA11" s="11">
        <v>712760</v>
      </c>
    </row>
    <row r="12" spans="1:27" ht="50.45" customHeight="1">
      <c r="A12" s="51">
        <v>6</v>
      </c>
      <c r="B12" s="52" t="s">
        <v>47</v>
      </c>
      <c r="C12" s="155"/>
      <c r="D12" s="6" t="s">
        <v>80</v>
      </c>
      <c r="E12" s="6" t="s">
        <v>20</v>
      </c>
      <c r="F12" s="6">
        <v>7900</v>
      </c>
      <c r="G12" s="53">
        <v>25</v>
      </c>
      <c r="H12" s="53">
        <v>1501916</v>
      </c>
      <c r="I12" s="53"/>
      <c r="J12" s="53"/>
      <c r="K12" s="53"/>
      <c r="L12" s="53" t="e">
        <f>H12+#REF!</f>
        <v>#REF!</v>
      </c>
      <c r="M12" s="53"/>
      <c r="N12" s="53" t="e">
        <f>E12+#REF!</f>
        <v>#VALUE!</v>
      </c>
      <c r="O12" s="54" t="e">
        <f>L12/N12-1</f>
        <v>#REF!</v>
      </c>
      <c r="P12" s="54"/>
      <c r="Q12" s="53">
        <v>14</v>
      </c>
      <c r="R12" s="53">
        <f t="shared" si="0"/>
        <v>0</v>
      </c>
      <c r="S12" s="53" t="e">
        <f t="shared" si="1"/>
        <v>#VALUE!</v>
      </c>
      <c r="T12" s="6">
        <f>1727311.90304652</f>
        <v>1727311.90304652</v>
      </c>
      <c r="U12" s="45">
        <v>2287012</v>
      </c>
      <c r="W12" s="14"/>
      <c r="AA12" s="8"/>
    </row>
    <row r="13" spans="1:27" ht="50.45" customHeight="1" thickBot="1">
      <c r="A13" s="59">
        <v>7</v>
      </c>
      <c r="B13" s="60" t="s">
        <v>48</v>
      </c>
      <c r="C13" s="155"/>
      <c r="D13" s="79" t="s">
        <v>81</v>
      </c>
      <c r="E13" s="79" t="s">
        <v>21</v>
      </c>
      <c r="F13" s="79">
        <v>8040</v>
      </c>
      <c r="G13" s="55"/>
      <c r="H13" s="55"/>
      <c r="I13" s="55">
        <v>26</v>
      </c>
      <c r="J13" s="55">
        <v>1611000</v>
      </c>
      <c r="K13" s="55"/>
      <c r="L13" s="55"/>
      <c r="M13" s="55" t="e">
        <f>J13+#REF!</f>
        <v>#REF!</v>
      </c>
      <c r="N13" s="55" t="e">
        <f>E13+#REF!</f>
        <v>#VALUE!</v>
      </c>
      <c r="O13" s="55"/>
      <c r="P13" s="56" t="e">
        <f>M13/N13-1</f>
        <v>#REF!</v>
      </c>
      <c r="Q13" s="55">
        <v>16</v>
      </c>
      <c r="R13" s="55">
        <f t="shared" si="0"/>
        <v>0</v>
      </c>
      <c r="S13" s="55" t="e">
        <f t="shared" si="1"/>
        <v>#VALUE!</v>
      </c>
      <c r="T13" s="79">
        <f>1808072.5942457</f>
        <v>1808072.5942456999</v>
      </c>
      <c r="U13" s="61">
        <v>2417376</v>
      </c>
      <c r="W13" s="14"/>
      <c r="AA13" s="8"/>
    </row>
    <row r="14" spans="1:27" ht="35.450000000000003" customHeight="1" thickBot="1">
      <c r="A14" s="144" t="s">
        <v>176</v>
      </c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6"/>
      <c r="W14" s="14"/>
      <c r="AA14" s="11"/>
    </row>
    <row r="15" spans="1:27" ht="36" customHeight="1">
      <c r="A15" s="48">
        <v>1</v>
      </c>
      <c r="B15" s="49" t="s">
        <v>51</v>
      </c>
      <c r="C15" s="154"/>
      <c r="D15" s="5" t="s">
        <v>82</v>
      </c>
      <c r="E15" s="5" t="s">
        <v>16</v>
      </c>
      <c r="F15" s="5">
        <v>4900</v>
      </c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7"/>
      <c r="S15" s="57"/>
      <c r="T15" s="5">
        <f>923793.487686325</f>
        <v>923793.48768632498</v>
      </c>
      <c r="U15" s="45">
        <v>1295299.2</v>
      </c>
      <c r="W15" s="14"/>
    </row>
    <row r="16" spans="1:27" ht="36.6" customHeight="1">
      <c r="A16" s="51">
        <v>2</v>
      </c>
      <c r="B16" s="52" t="s">
        <v>52</v>
      </c>
      <c r="C16" s="155"/>
      <c r="D16" s="6" t="s">
        <v>82</v>
      </c>
      <c r="E16" s="6"/>
      <c r="F16" s="6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8"/>
      <c r="S16" s="58"/>
      <c r="T16" s="6">
        <f>827657.615254373</f>
        <v>827657.61525437306</v>
      </c>
      <c r="U16" s="47">
        <v>1160539.1200000001</v>
      </c>
      <c r="W16" s="14"/>
    </row>
    <row r="17" spans="1:27" ht="36.6" customHeight="1">
      <c r="A17" s="51">
        <v>3</v>
      </c>
      <c r="B17" s="52" t="s">
        <v>53</v>
      </c>
      <c r="C17" s="155"/>
      <c r="D17" s="6" t="s">
        <v>83</v>
      </c>
      <c r="E17" s="6" t="s">
        <v>22</v>
      </c>
      <c r="F17" s="6">
        <v>5450</v>
      </c>
      <c r="G17" s="53"/>
      <c r="H17" s="53" t="s">
        <v>4</v>
      </c>
      <c r="I17" s="53"/>
      <c r="J17" s="53" t="s">
        <v>5</v>
      </c>
      <c r="K17" s="53"/>
      <c r="L17" s="53" t="s">
        <v>4</v>
      </c>
      <c r="M17" s="53" t="s">
        <v>5</v>
      </c>
      <c r="N17" s="53" t="s">
        <v>7</v>
      </c>
      <c r="O17" s="53"/>
      <c r="P17" s="53"/>
      <c r="Q17" s="53">
        <v>4</v>
      </c>
      <c r="R17" s="53">
        <f>($E$60/2)*Q17</f>
        <v>0</v>
      </c>
      <c r="S17" s="53" t="e">
        <f>E17-R17</f>
        <v>#VALUE!</v>
      </c>
      <c r="T17" s="6">
        <f>1056854.57032737</f>
        <v>1056854.57032737</v>
      </c>
      <c r="U17" s="47">
        <v>1481915.76</v>
      </c>
      <c r="W17" s="14"/>
    </row>
    <row r="18" spans="1:27" ht="35.450000000000003" customHeight="1">
      <c r="A18" s="51">
        <v>4</v>
      </c>
      <c r="B18" s="52" t="s">
        <v>54</v>
      </c>
      <c r="C18" s="155"/>
      <c r="D18" s="6" t="s">
        <v>83</v>
      </c>
      <c r="E18" s="6"/>
      <c r="F18" s="6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6">
        <f>966264.49962212</f>
        <v>966264.49962212006</v>
      </c>
      <c r="U18" s="47">
        <v>1354834</v>
      </c>
      <c r="W18" s="14"/>
    </row>
    <row r="19" spans="1:27" ht="35.450000000000003" customHeight="1">
      <c r="A19" s="51">
        <v>5</v>
      </c>
      <c r="B19" s="52" t="s">
        <v>55</v>
      </c>
      <c r="C19" s="155"/>
      <c r="D19" s="6" t="s">
        <v>84</v>
      </c>
      <c r="E19" s="6" t="s">
        <v>18</v>
      </c>
      <c r="F19" s="6">
        <v>6400</v>
      </c>
      <c r="G19" s="53">
        <v>15</v>
      </c>
      <c r="H19" s="53">
        <v>1180362</v>
      </c>
      <c r="I19" s="53">
        <v>15</v>
      </c>
      <c r="J19" s="53">
        <v>1202000</v>
      </c>
      <c r="K19" s="53"/>
      <c r="L19" s="53" t="e">
        <f>H19+#REF!</f>
        <v>#REF!</v>
      </c>
      <c r="M19" s="53" t="e">
        <f>J19+#REF!</f>
        <v>#REF!</v>
      </c>
      <c r="N19" s="53" t="e">
        <f>E19+#REF!</f>
        <v>#VALUE!</v>
      </c>
      <c r="O19" s="54" t="e">
        <f>L19/N19-1</f>
        <v>#REF!</v>
      </c>
      <c r="P19" s="54" t="e">
        <f>M19/N19-1</f>
        <v>#REF!</v>
      </c>
      <c r="Q19" s="53">
        <v>8</v>
      </c>
      <c r="R19" s="53">
        <f>($E$60/2)*Q19</f>
        <v>0</v>
      </c>
      <c r="S19" s="53" t="e">
        <f>E19-R19</f>
        <v>#VALUE!</v>
      </c>
      <c r="T19" s="6">
        <f>1239327.98372633</f>
        <v>1239327.9837263301</v>
      </c>
      <c r="U19" s="47">
        <v>1705267.2</v>
      </c>
      <c r="W19" s="14"/>
    </row>
    <row r="20" spans="1:27" ht="35.450000000000003" customHeight="1">
      <c r="A20" s="51">
        <v>6</v>
      </c>
      <c r="B20" s="52" t="s">
        <v>56</v>
      </c>
      <c r="C20" s="155"/>
      <c r="D20" s="6" t="s">
        <v>84</v>
      </c>
      <c r="E20" s="6"/>
      <c r="F20" s="6"/>
      <c r="G20" s="53"/>
      <c r="H20" s="53"/>
      <c r="I20" s="53"/>
      <c r="J20" s="53"/>
      <c r="K20" s="53"/>
      <c r="L20" s="53"/>
      <c r="M20" s="53"/>
      <c r="N20" s="53"/>
      <c r="O20" s="54"/>
      <c r="P20" s="54"/>
      <c r="Q20" s="53"/>
      <c r="R20" s="53"/>
      <c r="S20" s="53"/>
      <c r="T20" s="6">
        <f>1095124.16870479</f>
        <v>1095124.1687047901</v>
      </c>
      <c r="U20" s="47">
        <v>1506850.8</v>
      </c>
      <c r="W20" s="14"/>
    </row>
    <row r="21" spans="1:27" ht="35.450000000000003" customHeight="1">
      <c r="A21" s="51">
        <v>7</v>
      </c>
      <c r="B21" s="52" t="s">
        <v>57</v>
      </c>
      <c r="C21" s="155"/>
      <c r="D21" s="6" t="s">
        <v>85</v>
      </c>
      <c r="E21" s="6" t="s">
        <v>23</v>
      </c>
      <c r="F21" s="6">
        <v>7550</v>
      </c>
      <c r="G21" s="53">
        <v>21</v>
      </c>
      <c r="H21" s="53">
        <v>1375414</v>
      </c>
      <c r="I21" s="53">
        <v>22</v>
      </c>
      <c r="J21" s="53">
        <v>1470000</v>
      </c>
      <c r="K21" s="53"/>
      <c r="L21" s="53" t="e">
        <f>H21+#REF!</f>
        <v>#REF!</v>
      </c>
      <c r="M21" s="53" t="e">
        <f>J21+#REF!</f>
        <v>#REF!</v>
      </c>
      <c r="N21" s="53" t="e">
        <f>E21+#REF!</f>
        <v>#VALUE!</v>
      </c>
      <c r="O21" s="54" t="e">
        <f>L21/N21-1</f>
        <v>#REF!</v>
      </c>
      <c r="P21" s="54" t="e">
        <f>M21/N21-1</f>
        <v>#REF!</v>
      </c>
      <c r="Q21" s="53">
        <v>12</v>
      </c>
      <c r="R21" s="53">
        <f>($E$60/2)*Q21</f>
        <v>0</v>
      </c>
      <c r="S21" s="53" t="e">
        <f>E21-R21</f>
        <v>#VALUE!</v>
      </c>
      <c r="T21" s="6">
        <f>1275069.30702284</f>
        <v>1275069.30702284</v>
      </c>
      <c r="U21" s="47">
        <v>1771115.84</v>
      </c>
      <c r="W21" s="14"/>
    </row>
    <row r="22" spans="1:27" ht="36" customHeight="1">
      <c r="A22" s="51">
        <v>8</v>
      </c>
      <c r="B22" s="52" t="s">
        <v>58</v>
      </c>
      <c r="C22" s="155"/>
      <c r="D22" s="6" t="s">
        <v>85</v>
      </c>
      <c r="E22" s="6"/>
      <c r="F22" s="6"/>
      <c r="G22" s="53"/>
      <c r="H22" s="53"/>
      <c r="I22" s="53"/>
      <c r="J22" s="53"/>
      <c r="K22" s="53"/>
      <c r="L22" s="53"/>
      <c r="M22" s="53"/>
      <c r="N22" s="53"/>
      <c r="O22" s="54"/>
      <c r="P22" s="54"/>
      <c r="Q22" s="53"/>
      <c r="R22" s="53"/>
      <c r="S22" s="53"/>
      <c r="T22" s="6">
        <f>1169720.35415505</f>
        <v>1169720.3541550499</v>
      </c>
      <c r="U22" s="47">
        <v>1624827.36</v>
      </c>
      <c r="W22" s="14"/>
    </row>
    <row r="23" spans="1:27" ht="36" customHeight="1">
      <c r="A23" s="51">
        <v>9</v>
      </c>
      <c r="B23" s="52" t="s">
        <v>59</v>
      </c>
      <c r="C23" s="155"/>
      <c r="D23" s="6" t="s">
        <v>86</v>
      </c>
      <c r="E23" s="6" t="s">
        <v>24</v>
      </c>
      <c r="F23" s="6">
        <v>8650</v>
      </c>
      <c r="G23" s="53">
        <v>25</v>
      </c>
      <c r="H23" s="53">
        <v>1501916</v>
      </c>
      <c r="I23" s="53"/>
      <c r="J23" s="53"/>
      <c r="K23" s="53"/>
      <c r="L23" s="53" t="e">
        <f>H23+#REF!</f>
        <v>#REF!</v>
      </c>
      <c r="M23" s="53"/>
      <c r="N23" s="53" t="e">
        <f>E23+#REF!</f>
        <v>#VALUE!</v>
      </c>
      <c r="O23" s="54" t="e">
        <f>L23/N23-1</f>
        <v>#REF!</v>
      </c>
      <c r="P23" s="54"/>
      <c r="Q23" s="53">
        <v>14</v>
      </c>
      <c r="R23" s="53">
        <f>($E$60/2)*Q23</f>
        <v>0</v>
      </c>
      <c r="S23" s="53" t="e">
        <f>E23-R23</f>
        <v>#VALUE!</v>
      </c>
      <c r="T23" s="6">
        <f>1434549.9880507</f>
        <v>1434549.9880506999</v>
      </c>
      <c r="U23" s="47">
        <v>1917784.96</v>
      </c>
      <c r="W23" s="14"/>
    </row>
    <row r="24" spans="1:27" ht="36" customHeight="1">
      <c r="A24" s="51">
        <v>10</v>
      </c>
      <c r="B24" s="52" t="s">
        <v>60</v>
      </c>
      <c r="C24" s="155"/>
      <c r="D24" s="6" t="s">
        <v>86</v>
      </c>
      <c r="E24" s="6"/>
      <c r="F24" s="6"/>
      <c r="G24" s="53"/>
      <c r="H24" s="53"/>
      <c r="I24" s="53"/>
      <c r="J24" s="53"/>
      <c r="K24" s="53"/>
      <c r="L24" s="53"/>
      <c r="M24" s="53"/>
      <c r="N24" s="53"/>
      <c r="O24" s="54"/>
      <c r="P24" s="54"/>
      <c r="Q24" s="53"/>
      <c r="R24" s="53"/>
      <c r="S24" s="53"/>
      <c r="T24" s="6">
        <f>1226255.59990602</f>
        <v>1226255.5999060201</v>
      </c>
      <c r="U24" s="47">
        <v>1639381.12</v>
      </c>
      <c r="W24" s="14"/>
    </row>
    <row r="25" spans="1:27" ht="36" customHeight="1">
      <c r="A25" s="51">
        <v>11</v>
      </c>
      <c r="B25" s="52" t="s">
        <v>61</v>
      </c>
      <c r="C25" s="155"/>
      <c r="D25" s="6" t="s">
        <v>87</v>
      </c>
      <c r="E25" s="6" t="s">
        <v>25</v>
      </c>
      <c r="F25" s="6">
        <v>9300</v>
      </c>
      <c r="G25" s="53"/>
      <c r="H25" s="53"/>
      <c r="I25" s="53">
        <v>26</v>
      </c>
      <c r="J25" s="53">
        <v>1611000</v>
      </c>
      <c r="K25" s="53"/>
      <c r="L25" s="53"/>
      <c r="M25" s="53" t="e">
        <f>J25+#REF!</f>
        <v>#REF!</v>
      </c>
      <c r="N25" s="53" t="e">
        <f>E25+#REF!</f>
        <v>#VALUE!</v>
      </c>
      <c r="O25" s="53"/>
      <c r="P25" s="54" t="e">
        <f>M25/N25-1</f>
        <v>#REF!</v>
      </c>
      <c r="Q25" s="53">
        <v>16</v>
      </c>
      <c r="R25" s="53">
        <f>($E$60/2)*Q25</f>
        <v>0</v>
      </c>
      <c r="S25" s="53" t="e">
        <f>E25-R25</f>
        <v>#VALUE!</v>
      </c>
      <c r="T25" s="6">
        <f>1618364.51282005</f>
        <v>1618364.5128200499</v>
      </c>
      <c r="U25" s="47">
        <v>2100467.2000000002</v>
      </c>
      <c r="W25" s="14"/>
    </row>
    <row r="26" spans="1:27" ht="33.6" customHeight="1" thickBot="1">
      <c r="A26" s="122">
        <v>12</v>
      </c>
      <c r="B26" s="67" t="s">
        <v>62</v>
      </c>
      <c r="C26" s="164"/>
      <c r="D26" s="12" t="s">
        <v>87</v>
      </c>
      <c r="E26" s="12"/>
      <c r="F26" s="12"/>
      <c r="G26" s="68"/>
      <c r="H26" s="68"/>
      <c r="I26" s="68"/>
      <c r="J26" s="68"/>
      <c r="K26" s="68"/>
      <c r="L26" s="68"/>
      <c r="M26" s="68"/>
      <c r="N26" s="68"/>
      <c r="O26" s="68"/>
      <c r="P26" s="121"/>
      <c r="Q26" s="68"/>
      <c r="R26" s="68"/>
      <c r="S26" s="68"/>
      <c r="T26" s="12">
        <f>1373445.78191856*1.03</f>
        <v>1414649.1553761167</v>
      </c>
      <c r="U26" s="89">
        <v>1836124.1599999999</v>
      </c>
      <c r="W26" s="14"/>
    </row>
    <row r="27" spans="1:27" ht="43.9" customHeight="1" thickBot="1">
      <c r="A27" s="157" t="s">
        <v>177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9"/>
      <c r="AA27" s="1">
        <v>0.97</v>
      </c>
    </row>
    <row r="28" spans="1:27" ht="54" customHeight="1">
      <c r="A28" s="25">
        <v>1</v>
      </c>
      <c r="B28" s="21" t="s">
        <v>31</v>
      </c>
      <c r="C28" s="160"/>
      <c r="D28" s="10" t="s">
        <v>72</v>
      </c>
      <c r="E28" s="15" t="s">
        <v>13</v>
      </c>
      <c r="F28" s="115">
        <v>1180</v>
      </c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10">
        <f>369162.72895887*1.05</f>
        <v>387620.86540681351</v>
      </c>
      <c r="U28" s="45">
        <v>507936</v>
      </c>
      <c r="W28" s="14"/>
    </row>
    <row r="29" spans="1:27" ht="52.15" customHeight="1" thickBot="1">
      <c r="A29" s="25">
        <v>2</v>
      </c>
      <c r="B29" s="23" t="s">
        <v>32</v>
      </c>
      <c r="C29" s="161"/>
      <c r="D29" s="8" t="s">
        <v>72</v>
      </c>
      <c r="E29" s="15" t="s">
        <v>13</v>
      </c>
      <c r="F29" s="115">
        <v>938</v>
      </c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8">
        <f>348026.63675318*1.05</f>
        <v>365427.96859083901</v>
      </c>
      <c r="U29" s="45">
        <v>478816</v>
      </c>
      <c r="W29" s="46"/>
    </row>
    <row r="30" spans="1:27" ht="52.9" customHeight="1">
      <c r="A30" s="22">
        <v>3</v>
      </c>
      <c r="B30" s="23" t="s">
        <v>33</v>
      </c>
      <c r="C30" s="165"/>
      <c r="D30" s="8" t="s">
        <v>73</v>
      </c>
      <c r="E30" s="16" t="s">
        <v>14</v>
      </c>
      <c r="F30" s="6">
        <v>1770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10">
        <f>520674.519836621*1.05</f>
        <v>546708.24582845205</v>
      </c>
      <c r="U30" s="45">
        <v>716456</v>
      </c>
      <c r="W30" s="14"/>
    </row>
    <row r="31" spans="1:27" ht="50.1" customHeight="1" thickBot="1">
      <c r="A31" s="22">
        <v>4</v>
      </c>
      <c r="B31" s="23" t="s">
        <v>34</v>
      </c>
      <c r="C31" s="161"/>
      <c r="D31" s="8" t="s">
        <v>73</v>
      </c>
      <c r="E31" s="16" t="s">
        <v>14</v>
      </c>
      <c r="F31" s="6">
        <v>1480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10">
        <f>509385.124747938*1.05</f>
        <v>534854.38098533498</v>
      </c>
      <c r="U31" s="45">
        <v>700856</v>
      </c>
      <c r="W31" s="14"/>
      <c r="X31" s="14"/>
    </row>
    <row r="32" spans="1:27" ht="50.1" customHeight="1">
      <c r="A32" s="22">
        <v>5</v>
      </c>
      <c r="B32" s="23" t="s">
        <v>35</v>
      </c>
      <c r="C32" s="165"/>
      <c r="D32" s="8" t="s">
        <v>74</v>
      </c>
      <c r="E32" s="16">
        <v>300</v>
      </c>
      <c r="F32" s="6">
        <v>3040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10">
        <f>776925.652737126*1.05</f>
        <v>815771.9353739823</v>
      </c>
      <c r="U32" s="45">
        <v>1064904.3999999999</v>
      </c>
      <c r="W32" s="14"/>
    </row>
    <row r="33" spans="1:23" ht="50.1" customHeight="1" thickBot="1">
      <c r="A33" s="28">
        <v>6</v>
      </c>
      <c r="B33" s="23" t="s">
        <v>36</v>
      </c>
      <c r="C33" s="161"/>
      <c r="D33" s="8" t="s">
        <v>74</v>
      </c>
      <c r="E33" s="16">
        <v>300</v>
      </c>
      <c r="F33" s="79">
        <v>2307</v>
      </c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10">
        <f>748287.976610625*1.05</f>
        <v>785702.37544115633</v>
      </c>
      <c r="U33" s="45">
        <v>1025640</v>
      </c>
      <c r="W33" s="14"/>
    </row>
    <row r="34" spans="1:23" ht="49.9" customHeight="1">
      <c r="A34" s="40">
        <v>7</v>
      </c>
      <c r="B34" s="23" t="s">
        <v>37</v>
      </c>
      <c r="C34" s="119"/>
      <c r="D34" s="8" t="s">
        <v>75</v>
      </c>
      <c r="E34" s="17" t="s">
        <v>15</v>
      </c>
      <c r="F34" s="6">
        <v>3700</v>
      </c>
      <c r="G34" s="26"/>
      <c r="H34" s="27">
        <v>115000</v>
      </c>
      <c r="I34" s="26" t="s">
        <v>6</v>
      </c>
      <c r="J34" s="27">
        <v>25000</v>
      </c>
      <c r="K34" s="26"/>
      <c r="L34" s="26"/>
      <c r="M34" s="26"/>
      <c r="N34" s="26"/>
      <c r="O34" s="26"/>
      <c r="P34" s="26"/>
      <c r="Q34" s="26"/>
      <c r="R34" s="26"/>
      <c r="S34" s="26"/>
      <c r="T34" s="10">
        <f>909865.551156642*1.05</f>
        <v>955358.82871447422</v>
      </c>
      <c r="U34" s="45">
        <v>1242321.6000000001</v>
      </c>
      <c r="W34" s="14"/>
    </row>
    <row r="35" spans="1:23" ht="48.6" customHeight="1">
      <c r="A35" s="80">
        <v>8</v>
      </c>
      <c r="B35" s="34" t="s">
        <v>38</v>
      </c>
      <c r="C35" s="118"/>
      <c r="D35" s="11" t="s">
        <v>75</v>
      </c>
      <c r="E35" s="117" t="s">
        <v>15</v>
      </c>
      <c r="F35" s="79">
        <v>2778</v>
      </c>
      <c r="G35" s="38"/>
      <c r="H35" s="39"/>
      <c r="I35" s="38"/>
      <c r="J35" s="39"/>
      <c r="K35" s="38"/>
      <c r="L35" s="38"/>
      <c r="M35" s="38"/>
      <c r="N35" s="38"/>
      <c r="O35" s="38"/>
      <c r="P35" s="38"/>
      <c r="Q35" s="38"/>
      <c r="R35" s="38"/>
      <c r="S35" s="38"/>
      <c r="T35" s="13">
        <f>873600.978544338*1.05</f>
        <v>917281.02747155493</v>
      </c>
      <c r="U35" s="61">
        <v>1192785.6000000001</v>
      </c>
      <c r="W35" s="14"/>
    </row>
    <row r="36" spans="1:23" ht="107.45" customHeight="1" thickBot="1">
      <c r="A36" s="117">
        <v>9</v>
      </c>
      <c r="B36" s="34" t="s">
        <v>172</v>
      </c>
      <c r="C36" s="134"/>
      <c r="D36" s="11" t="s">
        <v>170</v>
      </c>
      <c r="E36" s="117">
        <v>300</v>
      </c>
      <c r="F36" s="79">
        <v>3225</v>
      </c>
      <c r="G36" s="26"/>
      <c r="H36" s="27"/>
      <c r="I36" s="26"/>
      <c r="J36" s="27"/>
      <c r="K36" s="26"/>
      <c r="L36" s="26"/>
      <c r="M36" s="26"/>
      <c r="N36" s="26"/>
      <c r="O36" s="26"/>
      <c r="P36" s="26"/>
      <c r="Q36" s="26"/>
      <c r="R36" s="26"/>
      <c r="S36" s="26"/>
      <c r="T36" s="87"/>
      <c r="U36" s="47">
        <v>1064904.3999999999</v>
      </c>
      <c r="W36" s="14"/>
    </row>
    <row r="37" spans="1:23" ht="31.5" customHeight="1" thickBot="1">
      <c r="A37" s="166" t="s">
        <v>39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8"/>
      <c r="W37" s="14"/>
    </row>
    <row r="38" spans="1:23" ht="49.9" customHeight="1" thickBot="1">
      <c r="A38" s="80">
        <v>1</v>
      </c>
      <c r="B38" s="33" t="s">
        <v>40</v>
      </c>
      <c r="C38" s="165"/>
      <c r="D38" s="10" t="s">
        <v>88</v>
      </c>
      <c r="E38" s="115" t="s">
        <v>27</v>
      </c>
      <c r="F38" s="115">
        <v>2600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7"/>
      <c r="S38" s="37"/>
      <c r="T38" s="10">
        <f>609961.38*1.1</f>
        <v>670957.51800000004</v>
      </c>
      <c r="U38" s="45">
        <v>914220.32</v>
      </c>
      <c r="W38" s="14"/>
    </row>
    <row r="39" spans="1:23" ht="50.45" customHeight="1" thickBot="1">
      <c r="A39" s="130">
        <v>2</v>
      </c>
      <c r="B39" s="129" t="s">
        <v>41</v>
      </c>
      <c r="C39" s="160"/>
      <c r="D39" s="8" t="s">
        <v>89</v>
      </c>
      <c r="E39" s="6" t="s">
        <v>28</v>
      </c>
      <c r="F39" s="6">
        <v>3050</v>
      </c>
      <c r="G39" s="29"/>
      <c r="H39" s="29" t="s">
        <v>4</v>
      </c>
      <c r="I39" s="29"/>
      <c r="J39" s="29" t="s">
        <v>5</v>
      </c>
      <c r="K39" s="29"/>
      <c r="L39" s="29" t="s">
        <v>4</v>
      </c>
      <c r="M39" s="29" t="s">
        <v>5</v>
      </c>
      <c r="N39" s="29" t="s">
        <v>7</v>
      </c>
      <c r="O39" s="29"/>
      <c r="P39" s="29"/>
      <c r="Q39" s="29">
        <v>4</v>
      </c>
      <c r="R39" s="30">
        <f>($E$42/2)*Q39</f>
        <v>160</v>
      </c>
      <c r="S39" s="30" t="e">
        <f>E39-R39</f>
        <v>#VALUE!</v>
      </c>
      <c r="T39" s="8">
        <f>741771.27*1.1</f>
        <v>815948.39700000011</v>
      </c>
      <c r="U39" s="45">
        <v>1111770.3999999999</v>
      </c>
      <c r="W39" s="14"/>
    </row>
    <row r="40" spans="1:23" ht="48.6" customHeight="1" thickBot="1">
      <c r="A40" s="80">
        <v>3</v>
      </c>
      <c r="B40" s="34" t="s">
        <v>42</v>
      </c>
      <c r="C40" s="161"/>
      <c r="D40" s="11" t="s">
        <v>90</v>
      </c>
      <c r="E40" s="79" t="s">
        <v>29</v>
      </c>
      <c r="F40" s="79">
        <v>4150</v>
      </c>
      <c r="G40" s="31">
        <v>15</v>
      </c>
      <c r="H40" s="35">
        <v>1180362</v>
      </c>
      <c r="I40" s="31">
        <v>15</v>
      </c>
      <c r="J40" s="35">
        <v>1202000</v>
      </c>
      <c r="K40" s="31"/>
      <c r="L40" s="35" t="e">
        <f>H40+#REF!</f>
        <v>#REF!</v>
      </c>
      <c r="M40" s="35" t="e">
        <f>J40+#REF!</f>
        <v>#REF!</v>
      </c>
      <c r="N40" s="35" t="e">
        <f>E40+#REF!</f>
        <v>#VALUE!</v>
      </c>
      <c r="O40" s="36" t="e">
        <f>L40/N40-1</f>
        <v>#REF!</v>
      </c>
      <c r="P40" s="36" t="e">
        <f>M40/N40-1</f>
        <v>#REF!</v>
      </c>
      <c r="Q40" s="31">
        <v>8</v>
      </c>
      <c r="R40" s="35">
        <f>($E$42/2)*Q40</f>
        <v>320</v>
      </c>
      <c r="S40" s="35" t="e">
        <f>E40-R40</f>
        <v>#VALUE!</v>
      </c>
      <c r="T40" s="11">
        <f>789451.77*1.1</f>
        <v>868396.94700000004</v>
      </c>
      <c r="U40" s="63">
        <v>1183205.92</v>
      </c>
      <c r="W40" s="14"/>
    </row>
    <row r="41" spans="1:23" ht="33.6" customHeight="1" thickBot="1">
      <c r="A41" s="169" t="s">
        <v>49</v>
      </c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W41" s="14"/>
    </row>
    <row r="42" spans="1:23" ht="87" customHeight="1" thickBot="1">
      <c r="A42" s="114">
        <v>1</v>
      </c>
      <c r="B42" s="131" t="s">
        <v>50</v>
      </c>
      <c r="C42" s="131"/>
      <c r="D42" s="114" t="s">
        <v>91</v>
      </c>
      <c r="E42" s="114">
        <v>80</v>
      </c>
      <c r="F42" s="114">
        <v>1550</v>
      </c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132">
        <f>597809.482494458*1.03</f>
        <v>615743.76696929173</v>
      </c>
      <c r="U42" s="133">
        <v>855241.92</v>
      </c>
      <c r="W42" s="14"/>
    </row>
    <row r="43" spans="1:23" ht="19.5" thickBot="1">
      <c r="A43" s="170" t="s">
        <v>63</v>
      </c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W43" s="14"/>
    </row>
    <row r="44" spans="1:23" ht="85.15" customHeight="1" thickBot="1">
      <c r="A44" s="90">
        <v>1</v>
      </c>
      <c r="B44" s="91" t="s">
        <v>64</v>
      </c>
      <c r="C44" s="91"/>
      <c r="D44" s="114" t="s">
        <v>92</v>
      </c>
      <c r="E44" s="92"/>
      <c r="F44" s="114">
        <v>1700</v>
      </c>
      <c r="G44" s="92"/>
      <c r="H44" s="93">
        <v>1348420.46</v>
      </c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114">
        <f>580410.05*1.05</f>
        <v>609430.55250000011</v>
      </c>
      <c r="U44" s="63">
        <v>798616</v>
      </c>
      <c r="W44" s="14"/>
    </row>
    <row r="45" spans="1:23" ht="86.45" customHeight="1" thickBot="1">
      <c r="A45" s="100">
        <v>2</v>
      </c>
      <c r="B45" s="101" t="s">
        <v>65</v>
      </c>
      <c r="C45" s="101"/>
      <c r="D45" s="120" t="s">
        <v>93</v>
      </c>
      <c r="E45" s="102"/>
      <c r="F45" s="120">
        <v>2800</v>
      </c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20">
        <f>732103.735*1.05</f>
        <v>768708.92174999998</v>
      </c>
      <c r="U45" s="103">
        <v>1007344</v>
      </c>
      <c r="W45" s="14"/>
    </row>
    <row r="46" spans="1:23" ht="24.95" customHeight="1" thickBot="1">
      <c r="A46" s="144" t="s">
        <v>68</v>
      </c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6"/>
      <c r="W46" s="14"/>
    </row>
    <row r="47" spans="1:23" ht="24.95" customHeight="1">
      <c r="A47" s="48">
        <v>1</v>
      </c>
      <c r="B47" s="49" t="s">
        <v>69</v>
      </c>
      <c r="C47" s="49"/>
      <c r="D47" s="88" t="s">
        <v>106</v>
      </c>
      <c r="E47" s="88"/>
      <c r="F47" s="88">
        <v>42</v>
      </c>
      <c r="G47" s="50"/>
      <c r="H47" s="64">
        <v>2104738.96</v>
      </c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88">
        <f>6508.425*1.05</f>
        <v>6833.8462500000005</v>
      </c>
      <c r="U47" s="45">
        <v>9391.2000000000007</v>
      </c>
      <c r="W47" s="14"/>
    </row>
    <row r="48" spans="1:23" ht="24.95" customHeight="1">
      <c r="A48" s="51">
        <v>2</v>
      </c>
      <c r="B48" s="52" t="s">
        <v>150</v>
      </c>
      <c r="C48" s="52"/>
      <c r="D48" s="6" t="s">
        <v>151</v>
      </c>
      <c r="E48" s="6"/>
      <c r="F48" s="6">
        <v>0.6</v>
      </c>
      <c r="G48" s="53"/>
      <c r="H48" s="65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6"/>
      <c r="U48" s="94">
        <v>208</v>
      </c>
      <c r="W48" s="14"/>
    </row>
    <row r="49" spans="1:23" ht="24.95" customHeight="1">
      <c r="A49" s="95">
        <v>3</v>
      </c>
      <c r="B49" s="82" t="s">
        <v>157</v>
      </c>
      <c r="C49" s="82"/>
      <c r="D49" s="81" t="s">
        <v>158</v>
      </c>
      <c r="E49" s="81"/>
      <c r="F49" s="81"/>
      <c r="G49" s="83"/>
      <c r="H49" s="84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1"/>
      <c r="U49" s="96">
        <v>44453.85</v>
      </c>
      <c r="W49" s="14"/>
    </row>
    <row r="50" spans="1:23" ht="24.95" customHeight="1">
      <c r="A50" s="95">
        <v>4</v>
      </c>
      <c r="B50" s="82" t="s">
        <v>159</v>
      </c>
      <c r="C50" s="82"/>
      <c r="D50" s="81" t="s">
        <v>160</v>
      </c>
      <c r="E50" s="81"/>
      <c r="F50" s="81"/>
      <c r="G50" s="83"/>
      <c r="H50" s="84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1"/>
      <c r="U50" s="96">
        <v>46547.55</v>
      </c>
      <c r="W50" s="14"/>
    </row>
    <row r="51" spans="1:23" ht="24.95" customHeight="1">
      <c r="A51" s="95">
        <v>5</v>
      </c>
      <c r="B51" s="82" t="s">
        <v>159</v>
      </c>
      <c r="C51" s="82"/>
      <c r="D51" s="81" t="s">
        <v>161</v>
      </c>
      <c r="E51" s="81"/>
      <c r="F51" s="81"/>
      <c r="G51" s="83"/>
      <c r="H51" s="84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1"/>
      <c r="U51" s="96">
        <v>46547.55</v>
      </c>
      <c r="W51" s="14"/>
    </row>
    <row r="52" spans="1:23" ht="24.95" customHeight="1">
      <c r="A52" s="95">
        <v>6</v>
      </c>
      <c r="B52" s="82" t="s">
        <v>159</v>
      </c>
      <c r="C52" s="82"/>
      <c r="D52" s="81" t="s">
        <v>162</v>
      </c>
      <c r="E52" s="81"/>
      <c r="F52" s="81"/>
      <c r="G52" s="83"/>
      <c r="H52" s="84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1"/>
      <c r="U52" s="96">
        <v>48612.9</v>
      </c>
      <c r="W52" s="14"/>
    </row>
    <row r="53" spans="1:23" ht="24.95" customHeight="1">
      <c r="A53" s="95">
        <v>7</v>
      </c>
      <c r="B53" s="82" t="s">
        <v>159</v>
      </c>
      <c r="C53" s="82"/>
      <c r="D53" s="81" t="s">
        <v>163</v>
      </c>
      <c r="E53" s="81"/>
      <c r="F53" s="81"/>
      <c r="G53" s="83"/>
      <c r="H53" s="84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1"/>
      <c r="U53" s="96">
        <v>48612.9</v>
      </c>
      <c r="W53" s="14"/>
    </row>
    <row r="54" spans="1:23" ht="24.95" customHeight="1">
      <c r="A54" s="95">
        <v>8</v>
      </c>
      <c r="B54" s="82" t="s">
        <v>164</v>
      </c>
      <c r="C54" s="82"/>
      <c r="D54" s="81" t="s">
        <v>167</v>
      </c>
      <c r="E54" s="81"/>
      <c r="F54" s="81"/>
      <c r="G54" s="83"/>
      <c r="H54" s="84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1"/>
      <c r="U54" s="96">
        <v>7967.4</v>
      </c>
      <c r="W54" s="14"/>
    </row>
    <row r="55" spans="1:23" ht="24.95" customHeight="1">
      <c r="A55" s="95">
        <v>9</v>
      </c>
      <c r="B55" s="82" t="s">
        <v>165</v>
      </c>
      <c r="C55" s="82"/>
      <c r="D55" s="81" t="s">
        <v>168</v>
      </c>
      <c r="E55" s="81"/>
      <c r="F55" s="81"/>
      <c r="G55" s="83"/>
      <c r="H55" s="84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1"/>
      <c r="U55" s="96">
        <v>1211.7</v>
      </c>
      <c r="W55" s="14"/>
    </row>
    <row r="56" spans="1:23" ht="24.95" customHeight="1">
      <c r="A56" s="81">
        <v>10</v>
      </c>
      <c r="B56" s="82" t="s">
        <v>166</v>
      </c>
      <c r="C56" s="82"/>
      <c r="D56" s="81" t="s">
        <v>169</v>
      </c>
      <c r="E56" s="81"/>
      <c r="F56" s="81"/>
      <c r="G56" s="83"/>
      <c r="H56" s="84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1"/>
      <c r="U56" s="96">
        <v>1753.5</v>
      </c>
      <c r="V56" s="113"/>
      <c r="W56" s="14"/>
    </row>
    <row r="57" spans="1:23" ht="24.95" customHeight="1" thickBot="1">
      <c r="A57" s="97">
        <v>11</v>
      </c>
      <c r="B57" s="106" t="s">
        <v>150</v>
      </c>
      <c r="C57" s="109"/>
      <c r="D57" s="110" t="s">
        <v>151</v>
      </c>
      <c r="E57" s="98"/>
      <c r="F57" s="98"/>
      <c r="G57" s="112"/>
      <c r="H57" s="108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11"/>
      <c r="T57" s="98"/>
      <c r="U57" s="99">
        <v>200.22659999999999</v>
      </c>
      <c r="W57" s="14"/>
    </row>
    <row r="58" spans="1:23" ht="24.95" customHeight="1" thickBot="1">
      <c r="A58" s="135" t="s">
        <v>66</v>
      </c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7"/>
      <c r="W58" s="14"/>
    </row>
    <row r="59" spans="1:23" ht="24.95" customHeight="1">
      <c r="A59" s="48">
        <v>1</v>
      </c>
      <c r="B59" s="49" t="s">
        <v>94</v>
      </c>
      <c r="C59" s="49"/>
      <c r="D59" s="5" t="s">
        <v>95</v>
      </c>
      <c r="E59" s="5"/>
      <c r="F59" s="5">
        <v>5.2</v>
      </c>
      <c r="G59" s="50"/>
      <c r="H59" s="64">
        <v>2104738.96</v>
      </c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">
        <f>1713.904962*1.05</f>
        <v>1799.6002101000001</v>
      </c>
      <c r="U59" s="45">
        <v>2511.6</v>
      </c>
      <c r="W59" s="14"/>
    </row>
    <row r="60" spans="1:23" ht="24.95" customHeight="1">
      <c r="A60" s="51">
        <v>2</v>
      </c>
      <c r="B60" s="52" t="s">
        <v>101</v>
      </c>
      <c r="C60" s="52"/>
      <c r="D60" s="6" t="s">
        <v>96</v>
      </c>
      <c r="E60" s="6"/>
      <c r="F60" s="6">
        <v>264</v>
      </c>
      <c r="G60" s="53"/>
      <c r="H60" s="65">
        <v>1217820.5</v>
      </c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6">
        <f>77980.700952*1.05</f>
        <v>81879.735999600001</v>
      </c>
      <c r="U60" s="45">
        <v>112694.39999999999</v>
      </c>
      <c r="W60" s="14"/>
    </row>
    <row r="61" spans="1:23" ht="24.95" customHeight="1">
      <c r="A61" s="51">
        <v>3</v>
      </c>
      <c r="B61" s="52" t="s">
        <v>102</v>
      </c>
      <c r="C61" s="52"/>
      <c r="D61" s="6" t="s">
        <v>97</v>
      </c>
      <c r="E61" s="6"/>
      <c r="F61" s="6">
        <v>12</v>
      </c>
      <c r="G61" s="53"/>
      <c r="H61" s="65">
        <v>1098052.54</v>
      </c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6">
        <f>3048.9420885*1.05</f>
        <v>3201.3891929249999</v>
      </c>
      <c r="U61" s="45">
        <v>4368</v>
      </c>
      <c r="W61" s="14"/>
    </row>
    <row r="62" spans="1:23" ht="24.95" customHeight="1">
      <c r="A62" s="51">
        <v>4</v>
      </c>
      <c r="B62" s="52" t="s">
        <v>103</v>
      </c>
      <c r="C62" s="52"/>
      <c r="D62" s="6" t="s">
        <v>98</v>
      </c>
      <c r="E62" s="6"/>
      <c r="F62" s="6">
        <v>93</v>
      </c>
      <c r="G62" s="53"/>
      <c r="H62" s="65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6">
        <f>24059.219877*1.05</f>
        <v>25262.180870849999</v>
      </c>
      <c r="U62" s="45">
        <v>34834.800000000003</v>
      </c>
      <c r="W62" s="14"/>
    </row>
    <row r="63" spans="1:23" ht="24.95" customHeight="1">
      <c r="A63" s="51">
        <v>5</v>
      </c>
      <c r="B63" s="52" t="s">
        <v>104</v>
      </c>
      <c r="C63" s="52"/>
      <c r="D63" s="6" t="s">
        <v>99</v>
      </c>
      <c r="E63" s="6"/>
      <c r="F63" s="6"/>
      <c r="G63" s="53"/>
      <c r="H63" s="65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6">
        <f>67677.28506*1.05</f>
        <v>71061.149313000002</v>
      </c>
      <c r="U63" s="45">
        <v>97843.199999999997</v>
      </c>
      <c r="W63" s="14"/>
    </row>
    <row r="64" spans="1:23" ht="24.95" customHeight="1">
      <c r="A64" s="59">
        <v>6</v>
      </c>
      <c r="B64" s="60" t="s">
        <v>105</v>
      </c>
      <c r="C64" s="60"/>
      <c r="D64" s="7" t="s">
        <v>100</v>
      </c>
      <c r="E64" s="7"/>
      <c r="F64" s="7"/>
      <c r="G64" s="55"/>
      <c r="H64" s="66">
        <v>1098052.54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7">
        <f>270.51*1.05</f>
        <v>284.03550000000001</v>
      </c>
      <c r="U64" s="62">
        <v>394</v>
      </c>
      <c r="W64" s="14"/>
    </row>
    <row r="65" spans="1:23" ht="24.95" customHeight="1">
      <c r="A65" s="6">
        <v>7</v>
      </c>
      <c r="B65" s="52" t="s">
        <v>156</v>
      </c>
      <c r="C65" s="52"/>
      <c r="D65" s="6" t="s">
        <v>138</v>
      </c>
      <c r="E65" s="6"/>
      <c r="F65" s="6">
        <v>7.8</v>
      </c>
      <c r="G65" s="53"/>
      <c r="H65" s="65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6"/>
      <c r="U65" s="47">
        <v>8626.7999999999993</v>
      </c>
      <c r="W65" s="14"/>
    </row>
    <row r="66" spans="1:23" ht="24.95" customHeight="1">
      <c r="A66" s="6">
        <v>8</v>
      </c>
      <c r="B66" s="52" t="s">
        <v>144</v>
      </c>
      <c r="C66" s="52"/>
      <c r="D66" s="6" t="s">
        <v>139</v>
      </c>
      <c r="E66" s="6"/>
      <c r="F66" s="6">
        <v>17.25</v>
      </c>
      <c r="G66" s="53"/>
      <c r="H66" s="65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6"/>
      <c r="U66" s="47">
        <v>13246.8</v>
      </c>
      <c r="W66" s="14"/>
    </row>
    <row r="67" spans="1:23" ht="24.95" customHeight="1">
      <c r="A67" s="6">
        <v>9</v>
      </c>
      <c r="B67" s="52" t="s">
        <v>145</v>
      </c>
      <c r="C67" s="52"/>
      <c r="D67" s="6" t="s">
        <v>140</v>
      </c>
      <c r="E67" s="6"/>
      <c r="F67" s="6">
        <v>60</v>
      </c>
      <c r="G67" s="53"/>
      <c r="H67" s="65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6"/>
      <c r="U67" s="47">
        <v>44292.15</v>
      </c>
      <c r="W67" s="14"/>
    </row>
    <row r="68" spans="1:23" ht="24.95" customHeight="1">
      <c r="A68" s="6">
        <v>10</v>
      </c>
      <c r="B68" s="52" t="s">
        <v>152</v>
      </c>
      <c r="C68" s="52"/>
      <c r="D68" s="6" t="s">
        <v>153</v>
      </c>
      <c r="E68" s="6"/>
      <c r="F68" s="6">
        <v>71</v>
      </c>
      <c r="G68" s="53"/>
      <c r="H68" s="65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6"/>
      <c r="U68" s="47">
        <v>33742.800000000003</v>
      </c>
      <c r="W68" s="14"/>
    </row>
    <row r="69" spans="1:23" ht="24.95" customHeight="1" thickBot="1">
      <c r="A69" s="79">
        <v>11</v>
      </c>
      <c r="B69" s="60" t="s">
        <v>154</v>
      </c>
      <c r="C69" s="60"/>
      <c r="D69" s="79" t="s">
        <v>155</v>
      </c>
      <c r="E69" s="79"/>
      <c r="F69" s="79">
        <v>16.5</v>
      </c>
      <c r="G69" s="55"/>
      <c r="H69" s="66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79"/>
      <c r="U69" s="61">
        <v>13213.2</v>
      </c>
      <c r="W69" s="14"/>
    </row>
    <row r="70" spans="1:23" ht="24.95" customHeight="1" thickBot="1">
      <c r="A70" s="144" t="s">
        <v>67</v>
      </c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6"/>
      <c r="W70" s="14"/>
    </row>
    <row r="71" spans="1:23" ht="24.95" customHeight="1">
      <c r="A71" s="48">
        <v>1</v>
      </c>
      <c r="B71" s="49" t="s">
        <v>147</v>
      </c>
      <c r="C71" s="49"/>
      <c r="D71" s="5" t="s">
        <v>107</v>
      </c>
      <c r="E71" s="5"/>
      <c r="F71" s="5">
        <v>4.3</v>
      </c>
      <c r="G71" s="50"/>
      <c r="H71" s="50">
        <f>SUM(H44:H70)</f>
        <v>8971823.9600000009</v>
      </c>
      <c r="I71" s="50" t="s">
        <v>8</v>
      </c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">
        <f>1925.32956*1.05</f>
        <v>2021.5960379999999</v>
      </c>
      <c r="U71" s="45">
        <v>2678</v>
      </c>
      <c r="W71" s="14"/>
    </row>
    <row r="72" spans="1:23" ht="24.95" customHeight="1">
      <c r="A72" s="51">
        <v>2</v>
      </c>
      <c r="B72" s="52" t="s">
        <v>148</v>
      </c>
      <c r="C72" s="52"/>
      <c r="D72" s="6" t="s">
        <v>132</v>
      </c>
      <c r="E72" s="6"/>
      <c r="F72" s="6">
        <v>6</v>
      </c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6">
        <f>2684.540397*1.05</f>
        <v>2818.7674168500002</v>
      </c>
      <c r="U72" s="45">
        <v>3728</v>
      </c>
      <c r="W72" s="14"/>
    </row>
    <row r="73" spans="1:23" ht="24.95" customHeight="1">
      <c r="A73" s="51">
        <v>3</v>
      </c>
      <c r="B73" s="52" t="s">
        <v>149</v>
      </c>
      <c r="C73" s="52"/>
      <c r="D73" s="6" t="s">
        <v>133</v>
      </c>
      <c r="E73" s="6"/>
      <c r="F73" s="6">
        <v>6</v>
      </c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6">
        <f>2684.540397*1.05</f>
        <v>2818.7674168500002</v>
      </c>
      <c r="U73" s="45">
        <v>3728</v>
      </c>
      <c r="W73" s="14"/>
    </row>
    <row r="74" spans="1:23" ht="24.95" customHeight="1">
      <c r="A74" s="51">
        <v>4</v>
      </c>
      <c r="B74" s="52" t="s">
        <v>134</v>
      </c>
      <c r="C74" s="52"/>
      <c r="D74" s="6" t="s">
        <v>108</v>
      </c>
      <c r="E74" s="6"/>
      <c r="F74" s="6">
        <v>2.2000000000000002</v>
      </c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6">
        <f>972.5031855*1.05</f>
        <v>1021.128344775</v>
      </c>
      <c r="U74" s="45">
        <v>1344</v>
      </c>
      <c r="W74" s="14"/>
    </row>
    <row r="75" spans="1:23" ht="24.95" customHeight="1">
      <c r="A75" s="51">
        <v>5</v>
      </c>
      <c r="B75" s="52" t="s">
        <v>135</v>
      </c>
      <c r="C75" s="52"/>
      <c r="D75" s="6" t="s">
        <v>109</v>
      </c>
      <c r="E75" s="6"/>
      <c r="F75" s="6">
        <v>2.2000000000000002</v>
      </c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6">
        <f>972.5031855*1.05</f>
        <v>1021.128344775</v>
      </c>
      <c r="U75" s="45">
        <v>1344</v>
      </c>
      <c r="W75" s="14"/>
    </row>
    <row r="76" spans="1:23" ht="24.95" customHeight="1">
      <c r="A76" s="51">
        <v>6</v>
      </c>
      <c r="B76" s="52" t="s">
        <v>110</v>
      </c>
      <c r="C76" s="52"/>
      <c r="D76" s="6" t="s">
        <v>111</v>
      </c>
      <c r="E76" s="6"/>
      <c r="F76" s="6">
        <v>3</v>
      </c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6">
        <f>1548.614991*1.05</f>
        <v>1626.0457405499999</v>
      </c>
      <c r="U76" s="45">
        <v>2153</v>
      </c>
      <c r="W76" s="14"/>
    </row>
    <row r="77" spans="1:23" ht="24.95" customHeight="1">
      <c r="A77" s="51">
        <v>7</v>
      </c>
      <c r="B77" s="52" t="s">
        <v>110</v>
      </c>
      <c r="C77" s="52"/>
      <c r="D77" s="6" t="s">
        <v>112</v>
      </c>
      <c r="E77" s="6"/>
      <c r="F77" s="6">
        <v>3</v>
      </c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6">
        <f>1595.154099*1.05</f>
        <v>1674.9118039500001</v>
      </c>
      <c r="U77" s="45">
        <v>2216</v>
      </c>
      <c r="W77" s="14"/>
    </row>
    <row r="78" spans="1:23" ht="24.95" customHeight="1">
      <c r="A78" s="51">
        <v>8</v>
      </c>
      <c r="B78" s="52" t="s">
        <v>136</v>
      </c>
      <c r="C78" s="52"/>
      <c r="D78" s="6" t="s">
        <v>113</v>
      </c>
      <c r="E78" s="6"/>
      <c r="F78" s="6">
        <v>54</v>
      </c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6">
        <f>23937.92*1.05</f>
        <v>25134.815999999999</v>
      </c>
      <c r="U78" s="45">
        <v>33285</v>
      </c>
      <c r="W78" s="14"/>
    </row>
    <row r="79" spans="1:23" ht="24.95" customHeight="1">
      <c r="A79" s="51">
        <v>9</v>
      </c>
      <c r="B79" s="52" t="s">
        <v>114</v>
      </c>
      <c r="C79" s="52"/>
      <c r="D79" s="6" t="s">
        <v>115</v>
      </c>
      <c r="E79" s="6"/>
      <c r="F79" s="6">
        <v>65</v>
      </c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6">
        <f>26602.406061*1.05</f>
        <v>27932.526364050002</v>
      </c>
      <c r="U79" s="45">
        <v>36960</v>
      </c>
      <c r="W79" s="14"/>
    </row>
    <row r="80" spans="1:23" ht="24.95" customHeight="1">
      <c r="A80" s="51">
        <v>10</v>
      </c>
      <c r="B80" s="52" t="s">
        <v>114</v>
      </c>
      <c r="C80" s="52"/>
      <c r="D80" s="6" t="s">
        <v>116</v>
      </c>
      <c r="E80" s="6"/>
      <c r="F80" s="6">
        <v>80</v>
      </c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6">
        <f>33736.951248*1.05</f>
        <v>35423.798810399996</v>
      </c>
      <c r="U80" s="45">
        <v>46830</v>
      </c>
      <c r="W80" s="14"/>
    </row>
    <row r="81" spans="1:27" ht="24.95" customHeight="1">
      <c r="A81" s="51">
        <v>11</v>
      </c>
      <c r="B81" s="52" t="s">
        <v>117</v>
      </c>
      <c r="C81" s="52"/>
      <c r="D81" s="6" t="s">
        <v>118</v>
      </c>
      <c r="E81" s="6"/>
      <c r="F81" s="6">
        <v>35</v>
      </c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6">
        <f>16265.013765*1.05</f>
        <v>17078.264453250002</v>
      </c>
      <c r="U81" s="45">
        <v>22575</v>
      </c>
      <c r="W81" s="14"/>
    </row>
    <row r="82" spans="1:27" ht="24.95" customHeight="1">
      <c r="A82" s="51">
        <v>12</v>
      </c>
      <c r="B82" s="52" t="s">
        <v>119</v>
      </c>
      <c r="C82" s="52"/>
      <c r="D82" s="6" t="s">
        <v>120</v>
      </c>
      <c r="E82" s="6"/>
      <c r="F82" s="6">
        <v>130</v>
      </c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6">
        <f>91662.3540525*1.05</f>
        <v>96245.471755125007</v>
      </c>
      <c r="U82" s="45">
        <v>127365</v>
      </c>
      <c r="W82" s="14"/>
    </row>
    <row r="83" spans="1:27" ht="24.95" customHeight="1">
      <c r="A83" s="51">
        <v>13</v>
      </c>
      <c r="B83" s="52" t="s">
        <v>121</v>
      </c>
      <c r="C83" s="52"/>
      <c r="D83" s="6" t="s">
        <v>122</v>
      </c>
      <c r="E83" s="6"/>
      <c r="F83" s="6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6">
        <f>8555.986593*1.05</f>
        <v>8983.7859226500004</v>
      </c>
      <c r="U83" s="45">
        <v>11865</v>
      </c>
      <c r="W83" s="14"/>
    </row>
    <row r="84" spans="1:27" ht="24.95" customHeight="1">
      <c r="A84" s="51">
        <v>14</v>
      </c>
      <c r="B84" s="52" t="s">
        <v>123</v>
      </c>
      <c r="C84" s="52"/>
      <c r="D84" s="6" t="s">
        <v>124</v>
      </c>
      <c r="E84" s="6"/>
      <c r="F84" s="6">
        <v>3.67</v>
      </c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6">
        <f>10184.7720975*1.05</f>
        <v>10694.010702374999</v>
      </c>
      <c r="U84" s="45">
        <v>14175</v>
      </c>
      <c r="W84" s="14"/>
      <c r="Z84" s="2"/>
      <c r="AA84" s="2"/>
    </row>
    <row r="85" spans="1:27" ht="24.95" customHeight="1">
      <c r="A85" s="51">
        <v>15</v>
      </c>
      <c r="B85" s="52" t="s">
        <v>9</v>
      </c>
      <c r="C85" s="52"/>
      <c r="D85" s="6"/>
      <c r="E85" s="6"/>
      <c r="F85" s="6">
        <v>2</v>
      </c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6">
        <f>3248.1608775*1.05</f>
        <v>3410.5689213750002</v>
      </c>
      <c r="U85" s="45">
        <v>4515</v>
      </c>
      <c r="W85" s="14"/>
      <c r="Z85" s="18"/>
      <c r="AA85" s="18"/>
    </row>
    <row r="86" spans="1:27" ht="24.95" customHeight="1">
      <c r="A86" s="51">
        <v>16</v>
      </c>
      <c r="B86" s="52" t="s">
        <v>10</v>
      </c>
      <c r="C86" s="52"/>
      <c r="D86" s="6"/>
      <c r="E86" s="6"/>
      <c r="F86" s="6">
        <v>2</v>
      </c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6">
        <f>3107.84166*1.05</f>
        <v>3263.2337430000002</v>
      </c>
      <c r="U86" s="45">
        <v>4305</v>
      </c>
      <c r="W86" s="14"/>
      <c r="Z86" s="18"/>
      <c r="AA86" s="18"/>
    </row>
    <row r="87" spans="1:27" ht="24.95" customHeight="1">
      <c r="A87" s="51">
        <v>17</v>
      </c>
      <c r="B87" s="52" t="s">
        <v>125</v>
      </c>
      <c r="C87" s="52"/>
      <c r="D87" s="6" t="s">
        <v>126</v>
      </c>
      <c r="E87" s="6"/>
      <c r="F87" s="6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6">
        <f>106.0097115*1.05</f>
        <v>111.310197075</v>
      </c>
      <c r="U87" s="44">
        <v>147</v>
      </c>
      <c r="W87" s="14"/>
    </row>
    <row r="88" spans="1:27" ht="24.95" customHeight="1">
      <c r="A88" s="51">
        <v>18</v>
      </c>
      <c r="B88" s="52" t="s">
        <v>2</v>
      </c>
      <c r="C88" s="52"/>
      <c r="D88" s="6"/>
      <c r="E88" s="6"/>
      <c r="F88" s="6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6">
        <f>81.13413*1.05</f>
        <v>85.190836500000003</v>
      </c>
      <c r="U88" s="44">
        <v>116</v>
      </c>
      <c r="W88" s="14"/>
    </row>
    <row r="89" spans="1:27" ht="23.25" customHeight="1">
      <c r="A89" s="51">
        <v>19</v>
      </c>
      <c r="B89" s="52" t="s">
        <v>127</v>
      </c>
      <c r="C89" s="52"/>
      <c r="D89" s="6" t="s">
        <v>128</v>
      </c>
      <c r="E89" s="6"/>
      <c r="F89" s="6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6">
        <f>42.732228*1.05</f>
        <v>44.868839399999999</v>
      </c>
      <c r="U89" s="44">
        <v>63</v>
      </c>
      <c r="W89" s="14"/>
    </row>
    <row r="90" spans="1:27" ht="23.45" customHeight="1">
      <c r="A90" s="59">
        <v>20</v>
      </c>
      <c r="B90" s="60" t="s">
        <v>127</v>
      </c>
      <c r="C90" s="60"/>
      <c r="D90" s="79" t="s">
        <v>129</v>
      </c>
      <c r="E90" s="79"/>
      <c r="F90" s="79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79">
        <f>34.7972625*1.05</f>
        <v>36.537125625000002</v>
      </c>
      <c r="U90" s="105">
        <v>53</v>
      </c>
    </row>
    <row r="91" spans="1:27" ht="23.45" customHeight="1" thickBot="1">
      <c r="A91" s="12">
        <v>21</v>
      </c>
      <c r="B91" s="67" t="s">
        <v>173</v>
      </c>
      <c r="C91" s="67"/>
      <c r="D91" s="12" t="s">
        <v>174</v>
      </c>
      <c r="E91" s="12"/>
      <c r="F91" s="12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104"/>
      <c r="U91" s="89">
        <v>28378</v>
      </c>
    </row>
    <row r="92" spans="1:27" ht="21" customHeight="1" thickBot="1">
      <c r="A92" s="135" t="s">
        <v>141</v>
      </c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7"/>
    </row>
    <row r="93" spans="1:27" ht="0.75" customHeight="1">
      <c r="A93" s="69"/>
      <c r="B93" s="70" t="s">
        <v>30</v>
      </c>
      <c r="C93" s="70"/>
      <c r="D93" s="46"/>
      <c r="E93" s="69"/>
      <c r="F93" s="69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</row>
    <row r="94" spans="1:27" ht="20.25" customHeight="1">
      <c r="A94" s="6">
        <v>1</v>
      </c>
      <c r="B94" s="52" t="s">
        <v>146</v>
      </c>
      <c r="C94" s="52"/>
      <c r="D94" s="6" t="s">
        <v>137</v>
      </c>
      <c r="E94" s="6"/>
      <c r="F94" s="6">
        <v>31</v>
      </c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6">
        <f>42.732228*1.05</f>
        <v>44.868839399999999</v>
      </c>
      <c r="U94" s="78">
        <v>29610</v>
      </c>
    </row>
    <row r="95" spans="1:27" ht="19.5" customHeight="1">
      <c r="A95" s="71">
        <v>2</v>
      </c>
      <c r="B95" s="72" t="s">
        <v>142</v>
      </c>
      <c r="C95" s="73"/>
      <c r="D95" s="71" t="s">
        <v>143</v>
      </c>
      <c r="E95" s="74"/>
      <c r="F95" s="71">
        <v>1.3</v>
      </c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75">
        <v>756</v>
      </c>
    </row>
    <row r="96" spans="1:27" ht="1.5" customHeight="1">
      <c r="A96" s="46"/>
      <c r="B96" s="76"/>
      <c r="C96" s="7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</row>
    <row r="97" spans="1:21" ht="23.25" customHeight="1">
      <c r="A97" s="46"/>
      <c r="B97" s="77" t="s">
        <v>30</v>
      </c>
      <c r="C97" s="7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</row>
    <row r="98" spans="1:21" ht="7.5" customHeight="1"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</row>
    <row r="99" spans="1:21" ht="18.75">
      <c r="B99" s="42"/>
      <c r="C99" s="42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</row>
    <row r="100" spans="1:21" ht="18" customHeight="1">
      <c r="B100" s="43"/>
      <c r="C100" s="43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</row>
    <row r="101" spans="1:21" ht="15" customHeight="1">
      <c r="B101" s="43"/>
      <c r="C101" s="43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</row>
    <row r="102" spans="1:21" ht="15" customHeight="1"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</row>
    <row r="103" spans="1:21"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</row>
  </sheetData>
  <mergeCells count="27">
    <mergeCell ref="A3:D3"/>
    <mergeCell ref="E2:U3"/>
    <mergeCell ref="A70:U70"/>
    <mergeCell ref="C15:C26"/>
    <mergeCell ref="C38:C40"/>
    <mergeCell ref="A37:U37"/>
    <mergeCell ref="C30:C31"/>
    <mergeCell ref="C32:C33"/>
    <mergeCell ref="A41:U41"/>
    <mergeCell ref="A43:U43"/>
    <mergeCell ref="A46:U46"/>
    <mergeCell ref="A92:U92"/>
    <mergeCell ref="A1:F1"/>
    <mergeCell ref="U4:U5"/>
    <mergeCell ref="A6:U6"/>
    <mergeCell ref="A14:U14"/>
    <mergeCell ref="B4:B5"/>
    <mergeCell ref="A4:A5"/>
    <mergeCell ref="T4:T5"/>
    <mergeCell ref="F4:F5"/>
    <mergeCell ref="E4:E5"/>
    <mergeCell ref="D4:D5"/>
    <mergeCell ref="C7:C13"/>
    <mergeCell ref="A2:D2"/>
    <mergeCell ref="A58:U58"/>
    <mergeCell ref="A27:U27"/>
    <mergeCell ref="C28:C29"/>
  </mergeCells>
  <printOptions horizontalCentered="1"/>
  <pageMargins left="0" right="0" top="0" bottom="0" header="0" footer="0"/>
  <pageSetup paperSize="9" scale="63" fitToWidth="3" fitToHeight="3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от 01.09.2021</vt:lpstr>
      <vt:lpstr>'Прайс от 01.09.2021'!Область_печати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2021-09-07T12:18:47Z</dcterms:modified>
</cp:coreProperties>
</file>